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717" activeTab="0"/>
  </bookViews>
  <sheets>
    <sheet name="Studium - analiza finansowa" sheetId="1" r:id="rId1"/>
    <sheet name="Analiza wskaźnikowa" sheetId="2" r:id="rId2"/>
    <sheet name="Nakłady - źródła finansowania" sheetId="3" r:id="rId3"/>
  </sheets>
  <definedNames>
    <definedName name="bilans_data">#REF!</definedName>
    <definedName name="iwcz">#REF!</definedName>
    <definedName name="iwk">#REF!</definedName>
    <definedName name="licznik_okresy">#REF!</definedName>
    <definedName name="miasto">#REF!</definedName>
    <definedName name="podatek">#REF!</definedName>
    <definedName name="podatek_procent">#REF!</definedName>
    <definedName name="podmiot">#REF!</definedName>
    <definedName name="procent_zatrudnienia">#REF!</definedName>
    <definedName name="rw_rok">#REF!</definedName>
    <definedName name="RWdata_start">#REF!</definedName>
    <definedName name="rwdata_stop">#REF!</definedName>
    <definedName name="skala">#REF!</definedName>
    <definedName name="ulica">#REF!</definedName>
    <definedName name="wsk_zatrudnienia">#REF!</definedName>
    <definedName name="wynagrodzenie_brutto_stale">#REF!</definedName>
    <definedName name="zus">#REF!</definedName>
  </definedNames>
  <calcPr fullCalcOnLoad="1"/>
</workbook>
</file>

<file path=xl/sharedStrings.xml><?xml version="1.0" encoding="utf-8"?>
<sst xmlns="http://schemas.openxmlformats.org/spreadsheetml/2006/main" count="627" uniqueCount="237">
  <si>
    <t>Wyszczególnienie</t>
  </si>
  <si>
    <t>2017 r</t>
  </si>
  <si>
    <t>2018 r</t>
  </si>
  <si>
    <t>2019 r</t>
  </si>
  <si>
    <t>2020 r</t>
  </si>
  <si>
    <t>2021 r</t>
  </si>
  <si>
    <t>2022 r</t>
  </si>
  <si>
    <t>Razem</t>
  </si>
  <si>
    <t>Fundusze unijne</t>
  </si>
  <si>
    <t>PROGNOZA PRZYCHODÓW</t>
  </si>
  <si>
    <t>PROGNOZA KOSZTÓW OPERACYJNYCH</t>
  </si>
  <si>
    <t>Pozostałe koszty operacyjne</t>
  </si>
  <si>
    <t>Koszty operacyjne bez amortyzacji</t>
  </si>
  <si>
    <t>Amortyzacja</t>
  </si>
  <si>
    <t>ZAŁOŻENIA DO KALKULACJI KOSZTÓW OPERACYJNYCH</t>
  </si>
  <si>
    <t>Kwota amortyzacji</t>
  </si>
  <si>
    <t>-</t>
  </si>
  <si>
    <t>R-cznie</t>
  </si>
  <si>
    <t>Parametr</t>
  </si>
  <si>
    <t>Wartość</t>
  </si>
  <si>
    <t>DIC</t>
  </si>
  <si>
    <t>zdyskontowany koszt inwestycji</t>
  </si>
  <si>
    <t>DNR</t>
  </si>
  <si>
    <t>EC</t>
  </si>
  <si>
    <t>DOCHODY NETTO GENEROWANE PRZEZ PROJEKT - OBLICZANIE LUKI W FINANSOWANIU</t>
  </si>
  <si>
    <t>okres &gt;</t>
  </si>
  <si>
    <t>rok &gt;</t>
  </si>
  <si>
    <t>Stopa dyskonta</t>
  </si>
  <si>
    <t>Współczynnik dyskonta</t>
  </si>
  <si>
    <t>Nakłady inwestycyjne</t>
  </si>
  <si>
    <t>Zdyskontowane nakłady inwestycyjne</t>
  </si>
  <si>
    <t>Przychody operacyjne</t>
  </si>
  <si>
    <t>Zdyskontowane przychody operacyjne</t>
  </si>
  <si>
    <t>Zdyskontowane koszty operacyjne bez amortyzacji</t>
  </si>
  <si>
    <t>Wartość rezydualna</t>
  </si>
  <si>
    <t>Zdyskontowana wartość rezydualna</t>
  </si>
  <si>
    <t>zdyskontowane dochody = przychody - koszty operacyjne + wart. rezydualna</t>
  </si>
  <si>
    <t>MAX EE</t>
  </si>
  <si>
    <t>DIC - DNR, maksymalny wydatek kwalifikowany</t>
  </si>
  <si>
    <t>LUKA FINANSOWA</t>
  </si>
  <si>
    <t>R = MAX EE / DIC</t>
  </si>
  <si>
    <t>koszty kwalifikowane (niezdyskontowane w zł)</t>
  </si>
  <si>
    <t>KWOTA DA</t>
  </si>
  <si>
    <t>DA = EC * R, decision amount</t>
  </si>
  <si>
    <t>MAX CRPA</t>
  </si>
  <si>
    <t>maksymalna wielkość współfinansowania okreslona dla osi priorytetowej RPO WP</t>
  </si>
  <si>
    <t>DOTACJA UE</t>
  </si>
  <si>
    <t>DA * MAX CRPA = Dotacja</t>
  </si>
  <si>
    <t>DOTACJE UE / EC</t>
  </si>
  <si>
    <t>udział dotacji w wartości wydatków kwalifikowanych</t>
  </si>
  <si>
    <t>2023 r</t>
  </si>
  <si>
    <t>Razem koszty operacyjne</t>
  </si>
  <si>
    <t>Razem przychody operycyjne</t>
  </si>
  <si>
    <t>Razem nakłady inwestycyjne</t>
  </si>
  <si>
    <t>Razem źródła finansowania</t>
  </si>
  <si>
    <t>Udział %</t>
  </si>
  <si>
    <t>Amortyzacja razem</t>
  </si>
  <si>
    <t>Podstawowe dane</t>
  </si>
  <si>
    <t>1.1.</t>
  </si>
  <si>
    <t>1.2.</t>
  </si>
  <si>
    <t>1.3.</t>
  </si>
  <si>
    <t>Wskaźniki efektywności</t>
  </si>
  <si>
    <t>2.1.</t>
  </si>
  <si>
    <t>2.2.</t>
  </si>
  <si>
    <t>Nakłady inwestycyjne całkowite</t>
  </si>
  <si>
    <t>ŻRÓDŁA FINANSOWANIA PROJEKTU (rzeczywiste)</t>
  </si>
  <si>
    <t>ŻRÓDŁA FINANSOWANIA PROJEKTU (teoretyczne)</t>
  </si>
  <si>
    <t>Dotacja z EFRR</t>
  </si>
  <si>
    <t>Dofinansowanie z EFRR</t>
  </si>
  <si>
    <t>Nakłady kwalifikowane</t>
  </si>
  <si>
    <t>Nakłady niekwalifikowane</t>
  </si>
  <si>
    <t>II</t>
  </si>
  <si>
    <t>III</t>
  </si>
  <si>
    <t>IV</t>
  </si>
  <si>
    <t>I</t>
  </si>
  <si>
    <t>Nazwa kosztu</t>
  </si>
  <si>
    <t>Razem (kwartalnie)</t>
  </si>
  <si>
    <t>NAKŁADY NA KAPITAŁ OBROTOWY</t>
  </si>
  <si>
    <t>Zapasy</t>
  </si>
  <si>
    <t>Należności krótkoterminowe</t>
  </si>
  <si>
    <t>Zobowiązania krótkoterminowe</t>
  </si>
  <si>
    <t>Kapitał obrotowy</t>
  </si>
  <si>
    <t>Zmiany kapitału obrotowego</t>
  </si>
  <si>
    <t>RACHUNEK ZYSKÓW I STRAT</t>
  </si>
  <si>
    <t>Koszty operacyjne</t>
  </si>
  <si>
    <t xml:space="preserve">  - usługi obce</t>
  </si>
  <si>
    <t xml:space="preserve">  - pozostałe koszty operacyjne</t>
  </si>
  <si>
    <t>Zysk operacyjny</t>
  </si>
  <si>
    <t>RACHUNEK PRZEPŁYWÓW PIENIĘŻNYCH -TRWAŁOŚĆ PROJEKTU</t>
  </si>
  <si>
    <t>2. Przepływy pieniężne z działalności inwestycyjnej</t>
  </si>
  <si>
    <t>3. Przepływy z działalności finansowej</t>
  </si>
  <si>
    <t>Przepływy pieniężne netto razem (1+2+3)</t>
  </si>
  <si>
    <t>Środki pieniężne na początek okresu</t>
  </si>
  <si>
    <t>Środki pieniężne na koniec okresu</t>
  </si>
  <si>
    <t>RENTOWNOŚĆ FINANSOWA PROJEKTU  - WARIANT BEZ DOTACJI</t>
  </si>
  <si>
    <t>Zmiana stanu kapitału obrotowego</t>
  </si>
  <si>
    <t>Wolny strumień gotówki</t>
  </si>
  <si>
    <t>Wartość bieżąca (PV)</t>
  </si>
  <si>
    <t>FNPV/C</t>
  </si>
  <si>
    <t>FERR/C</t>
  </si>
  <si>
    <t>Testy wrażliwości</t>
  </si>
  <si>
    <t>Parametry</t>
  </si>
  <si>
    <t>zmiana o</t>
  </si>
  <si>
    <t>Koszty operacyjne (bez amortyzacji)</t>
  </si>
  <si>
    <t>Przychody operacyjne (podstawowe i pozostałe)</t>
  </si>
  <si>
    <t>Przychody operacyjne podstawowe</t>
  </si>
  <si>
    <t>Amortyzacja od środków trwałych</t>
  </si>
  <si>
    <t>Koszt/stawka</t>
  </si>
  <si>
    <t>Nazwa, algorytm</t>
  </si>
  <si>
    <t>1. Przepływy pieniężne z działalności operacyjnej</t>
  </si>
  <si>
    <t>2024 r</t>
  </si>
  <si>
    <t>2025 r</t>
  </si>
  <si>
    <t>2026 r</t>
  </si>
  <si>
    <t>2027 r</t>
  </si>
  <si>
    <t>2028 r</t>
  </si>
  <si>
    <t>2029 r</t>
  </si>
  <si>
    <t>2030 r</t>
  </si>
  <si>
    <t>Wsp. dyskonta przy stopie 4%</t>
  </si>
  <si>
    <t>HARMONOGRAM RZECZOWO - FINANSOWY</t>
  </si>
  <si>
    <t>Koszty kwalifikowane</t>
  </si>
  <si>
    <t>Koszty niekwalifikowane</t>
  </si>
  <si>
    <t>ŻRÓDŁA FINANSOWANIA KOSZTÓW KWALIFIKOWANYCH PROJEKTU</t>
  </si>
  <si>
    <t>finansowanych ze środków własnych</t>
  </si>
  <si>
    <t>Stawka amortyzacyjna</t>
  </si>
  <si>
    <t xml:space="preserve">  - zużycie materiałów</t>
  </si>
  <si>
    <t>Wzrost/spadek nakładów inwestycyjnych</t>
  </si>
  <si>
    <t>Wzrost/spadek kosztów eksploatacyjnych</t>
  </si>
  <si>
    <t>Zmiana nakładów inwestycyjnych</t>
  </si>
  <si>
    <t>Zmiana  kosztów eksploatacyjnych</t>
  </si>
  <si>
    <t>Wyliczone</t>
  </si>
  <si>
    <t>dla projektu</t>
  </si>
  <si>
    <t>Tabela - Zmiany FNPV (wariant bez dotacji)</t>
  </si>
  <si>
    <t>Tabela - Zmiany FNPV (wariant z dotacją)</t>
  </si>
  <si>
    <t xml:space="preserve">Razem </t>
  </si>
  <si>
    <t>Koszty całkowite</t>
  </si>
  <si>
    <t>zł</t>
  </si>
  <si>
    <t>ŻRÓDŁA FINANSOWANIA KOSZTÓW NIEKWALIFIKOWANYCH PROJEKTU</t>
  </si>
  <si>
    <t xml:space="preserve">HARMONOGAM NAKŁADÓW INWESTYCYJNYCH </t>
  </si>
  <si>
    <t>Zużycie materiałów i energii</t>
  </si>
  <si>
    <t xml:space="preserve">Usługi obce </t>
  </si>
  <si>
    <t>Przychody operacyjne bezpośrednie</t>
  </si>
  <si>
    <t>Tabela - Analiza wskaźnikowa</t>
  </si>
  <si>
    <t>K.kwalif.</t>
  </si>
  <si>
    <t>Dotacja</t>
  </si>
  <si>
    <t>RAZEM KOSZTY KWALIFIKOWANE BRUTTO</t>
  </si>
  <si>
    <t>Koszty kwalifikowane netto</t>
  </si>
  <si>
    <t>Koszty kwalifikowane - VAT</t>
  </si>
  <si>
    <t>Wpływy z dotacji EFRR</t>
  </si>
  <si>
    <t>Wykres Gantta</t>
  </si>
  <si>
    <t>Dotacja z wniosku</t>
  </si>
  <si>
    <t>%</t>
  </si>
  <si>
    <t>Kwota</t>
  </si>
  <si>
    <t>Podatki i opłaty (podatek od nieruchomości)</t>
  </si>
  <si>
    <t>Wynagrodzenia z narzutami</t>
  </si>
  <si>
    <t xml:space="preserve">  - wynagrodzenia z narzutami</t>
  </si>
  <si>
    <t>Zakup i montaż instalacji fotowoltaicznej - netto</t>
  </si>
  <si>
    <t>Zakup i montaż instalacji fotowoltaicznej - VAT</t>
  </si>
  <si>
    <t>Zakup samochodu elektrycznego (ekomobil) - netto</t>
  </si>
  <si>
    <t>Zakup samochodu elektrycznego (ekomobil) - VAT</t>
  </si>
  <si>
    <t>Prace budowlano - remontowe</t>
  </si>
  <si>
    <t>Zakup i montaż instalacji fotowoltaicznej</t>
  </si>
  <si>
    <t>Zakup wyposażenia i pomocy dydaktycznych</t>
  </si>
  <si>
    <t>Zakup samochodu elektrycznego (ekomobil)</t>
  </si>
  <si>
    <t>Zadania inwestycyjne wg. zapytań ofertowych</t>
  </si>
  <si>
    <t>Liczba korzystających z projektu</t>
  </si>
  <si>
    <t>Liczba użytkowników projektu</t>
  </si>
  <si>
    <t>Efektywność kosztowa - Nakłady inwestycyjne całkowite/ Liczba użytkowników projektu [PLN/osoba]</t>
  </si>
  <si>
    <t>Efektywność dofinansowania - Wartość dofinansowania / Liczba użytkowników projektu [PLN/osoba]</t>
  </si>
  <si>
    <t>2031 r</t>
  </si>
  <si>
    <t>2032 r</t>
  </si>
  <si>
    <t>2033 r</t>
  </si>
  <si>
    <t>2034 r</t>
  </si>
  <si>
    <t>2035 r</t>
  </si>
  <si>
    <t>2036 r</t>
  </si>
  <si>
    <t>2037 r</t>
  </si>
  <si>
    <t>2038 r</t>
  </si>
  <si>
    <t>2039 r</t>
  </si>
  <si>
    <t>2040 r</t>
  </si>
  <si>
    <t>2041 r</t>
  </si>
  <si>
    <t>2042 r</t>
  </si>
  <si>
    <t>Ilość wytworzonej energii (KWh/rok)</t>
  </si>
  <si>
    <t>Cena energii z sieci zł/kWh</t>
  </si>
  <si>
    <t>Oszczędności na instalacji fotowoltaicznej (zł/rok)</t>
  </si>
  <si>
    <t xml:space="preserve">Zakup samochodu elektrycznego (ekomobil) </t>
  </si>
  <si>
    <t>Zakup wyposażenia i pomocy dydatktycznych</t>
  </si>
  <si>
    <t>Ogród bioróżnorodności - aranżacja i wyposażenie</t>
  </si>
  <si>
    <t>Modernizacja Pracowni PCEE - prace remontowe (netto)</t>
  </si>
  <si>
    <t>Modernizacja pracowni PCEE - instalacja fotowoltaiczna</t>
  </si>
  <si>
    <t>Mobilna edukacja (zakup samochodu elektrycznego)</t>
  </si>
  <si>
    <t>Zywa edukacja - zakup szafy terraium</t>
  </si>
  <si>
    <t>Zielone centrum - wyposażenie</t>
  </si>
  <si>
    <t>Pracownia badania siedlisk - system GIS</t>
  </si>
  <si>
    <t>Pracownia mikrobiologii (sprzęt)</t>
  </si>
  <si>
    <t>Pracownia mikroskopii (sprzęt)</t>
  </si>
  <si>
    <t>Modernizacja Pracowni PCEE - prace remontowe (VAT)</t>
  </si>
  <si>
    <t xml:space="preserve">Pozostałe przychody operacyjne </t>
  </si>
  <si>
    <t>Razem nakłady inwestycyjne brutto</t>
  </si>
  <si>
    <t>Budżet Stowarzyszenia EKOSKPOP - wkład</t>
  </si>
  <si>
    <t>Budżet Stowarzyszenia EKOSKPOP - zwrot</t>
  </si>
  <si>
    <t>Serwis instalacji PV (po okresie 5 lat)</t>
  </si>
  <si>
    <t>Koszty energii (ładowanie baterii samochodowej)</t>
  </si>
  <si>
    <t>Koszty materiałowe (drobne akcesoria, mat. ogrodnicze)</t>
  </si>
  <si>
    <t>Roboty budowlane modernizacyjne i aranżacyjne</t>
  </si>
  <si>
    <t>Instalacja fotowoltaiczna</t>
  </si>
  <si>
    <t>Wyposażenie i samochód elektryczny</t>
  </si>
  <si>
    <t xml:space="preserve">Stowarzyszenie EKOSKOP - wkład na inwestycje </t>
  </si>
  <si>
    <t xml:space="preserve">  - nakłady inwestycyjne </t>
  </si>
  <si>
    <t xml:space="preserve">Nakłady inwestycyjne </t>
  </si>
  <si>
    <t>Ubezpieczenie samochodu</t>
  </si>
  <si>
    <t>Stowarzyszenie EKOSKOP - wkład 
 na pokrycie bieżącej działalności</t>
  </si>
  <si>
    <t>Laboratorium bioróżnorodności nowoczesna nauka - wyposażenie</t>
  </si>
  <si>
    <t>Zakup wyposażenia i pomocy dydaktycznych - netto</t>
  </si>
  <si>
    <t>Zakup wyposażenia i pomocy dydaktycznych - VAT</t>
  </si>
  <si>
    <t>Modernizacja pracowni PCEE i pracowni Zielone Meble - prace remontowe i wyposażenie</t>
  </si>
  <si>
    <t xml:space="preserve">Prace budowlane </t>
  </si>
  <si>
    <t>Prace budowlane  - netto</t>
  </si>
  <si>
    <t>Prace budowlane - VAT</t>
  </si>
  <si>
    <t>Pracownia bioróżnorodności - wyposażenie</t>
  </si>
  <si>
    <t>RPO</t>
  </si>
  <si>
    <t>PROO</t>
  </si>
  <si>
    <t>Audyt formalno-prawny i audyt księgowy.</t>
  </si>
  <si>
    <t>Opracowanie wzorców starannego działania oraz dokumentacji wewnętrznej.</t>
  </si>
  <si>
    <t>Dostęp do platformy internetowej LEX.</t>
  </si>
  <si>
    <t>Wsparcie eksperckie – przygotowanie ekspertyz i analiz (10 szt*3000 zł).</t>
  </si>
  <si>
    <t>Profesjonalizacja kadry (10 szkoleń dla co najmniej 4 osoby * 2000zł)..</t>
  </si>
  <si>
    <t>Rozwój zasobów ludzkich.</t>
  </si>
  <si>
    <t>Cyfryzacja pracy zarządu</t>
  </si>
  <si>
    <t xml:space="preserve">Obsługa wniosku </t>
  </si>
  <si>
    <t>Promocja</t>
  </si>
  <si>
    <t>Wzmocienie organizacji - netto</t>
  </si>
  <si>
    <t>Wzmocienie organizacji  - VAT</t>
  </si>
  <si>
    <t>Wzmocnienie organizacji</t>
  </si>
  <si>
    <t>Koszty PROO</t>
  </si>
  <si>
    <t>Koszty niekwalifikowalne</t>
  </si>
  <si>
    <t>Wzmocnienie</t>
  </si>
  <si>
    <t>2043 r</t>
  </si>
  <si>
    <t>2044 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</si>
</sst>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\ mmm\ yy;@"/>
    <numFmt numFmtId="165" formatCode="0.0%"/>
    <numFmt numFmtId="166" formatCode="#,##0.0000"/>
    <numFmt numFmtId="167" formatCode="0.0"/>
    <numFmt numFmtId="168" formatCode="#,##0.0"/>
    <numFmt numFmtId="169" formatCode="0.0000"/>
    <numFmt numFmtId="170" formatCode="00\-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"/>
    <numFmt numFmtId="176" formatCode="0.00000"/>
    <numFmt numFmtId="177" formatCode="#,##0.00000"/>
    <numFmt numFmtId="178" formatCode="#,##0.00\ &quot;zł&quot;"/>
    <numFmt numFmtId="179" formatCode="0.0000%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i/>
      <sz val="9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52" applyNumberFormat="1" applyFont="1" applyFill="1" applyBorder="1" applyAlignment="1">
      <alignment horizontal="center"/>
      <protection/>
    </xf>
    <xf numFmtId="0" fontId="26" fillId="0" borderId="10" xfId="52" applyFont="1" applyFill="1" applyBorder="1" applyAlignment="1" applyProtection="1">
      <alignment wrapText="1"/>
      <protection locked="0"/>
    </xf>
    <xf numFmtId="4" fontId="7" fillId="0" borderId="0" xfId="52" applyNumberFormat="1" applyFont="1" applyFill="1" applyBorder="1" applyAlignment="1">
      <alignment horizontal="center" wrapText="1"/>
      <protection/>
    </xf>
    <xf numFmtId="4" fontId="7" fillId="0" borderId="0" xfId="52" applyNumberFormat="1" applyFont="1" applyFill="1" applyBorder="1">
      <alignment/>
      <protection/>
    </xf>
    <xf numFmtId="4" fontId="7" fillId="0" borderId="0" xfId="52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4" fontId="26" fillId="0" borderId="0" xfId="0" applyNumberFormat="1" applyFont="1" applyAlignment="1">
      <alignment/>
    </xf>
    <xf numFmtId="0" fontId="5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5" fillId="0" borderId="13" xfId="0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0" fontId="56" fillId="0" borderId="15" xfId="0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55" fillId="0" borderId="15" xfId="0" applyFont="1" applyBorder="1" applyAlignment="1">
      <alignment/>
    </xf>
    <xf numFmtId="4" fontId="26" fillId="0" borderId="16" xfId="0" applyNumberFormat="1" applyFont="1" applyBorder="1" applyAlignment="1">
      <alignment horizontal="right"/>
    </xf>
    <xf numFmtId="4" fontId="26" fillId="0" borderId="17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6" fillId="0" borderId="10" xfId="52" applyNumberFormat="1" applyFont="1" applyFill="1" applyBorder="1" applyAlignment="1">
      <alignment horizontal="center" vertical="center"/>
      <protection/>
    </xf>
    <xf numFmtId="4" fontId="26" fillId="0" borderId="10" xfId="52" applyNumberFormat="1" applyFont="1" applyFill="1" applyBorder="1" applyAlignment="1" applyProtection="1">
      <alignment wrapText="1"/>
      <protection locked="0"/>
    </xf>
    <xf numFmtId="4" fontId="26" fillId="0" borderId="10" xfId="52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4" fontId="26" fillId="0" borderId="10" xfId="52" applyNumberFormat="1" applyFont="1" applyFill="1" applyBorder="1">
      <alignment/>
      <protection/>
    </xf>
    <xf numFmtId="4" fontId="26" fillId="0" borderId="10" xfId="52" applyNumberFormat="1" applyFont="1" applyFill="1" applyBorder="1" applyAlignment="1" applyProtection="1">
      <alignment horizontal="right" vertical="center"/>
      <protection locked="0"/>
    </xf>
    <xf numFmtId="4" fontId="26" fillId="0" borderId="10" xfId="0" applyNumberFormat="1" applyFont="1" applyFill="1" applyBorder="1" applyAlignment="1">
      <alignment/>
    </xf>
    <xf numFmtId="4" fontId="26" fillId="33" borderId="19" xfId="52" applyNumberFormat="1" applyFont="1" applyFill="1" applyBorder="1" applyAlignment="1" applyProtection="1">
      <alignment horizontal="right" vertical="center"/>
      <protection locked="0"/>
    </xf>
    <xf numFmtId="4" fontId="26" fillId="33" borderId="20" xfId="52" applyNumberFormat="1" applyFont="1" applyFill="1" applyBorder="1" applyAlignment="1" applyProtection="1">
      <alignment horizontal="right" vertical="center"/>
      <protection locked="0"/>
    </xf>
    <xf numFmtId="4" fontId="26" fillId="33" borderId="21" xfId="52" applyNumberFormat="1" applyFont="1" applyFill="1" applyBorder="1" applyAlignment="1" applyProtection="1">
      <alignment horizontal="right" vertical="center"/>
      <protection locked="0"/>
    </xf>
    <xf numFmtId="4" fontId="26" fillId="33" borderId="10" xfId="52" applyNumberFormat="1" applyFont="1" applyFill="1" applyBorder="1" applyAlignment="1" applyProtection="1">
      <alignment horizontal="right" vertical="center"/>
      <protection locked="0"/>
    </xf>
    <xf numFmtId="4" fontId="26" fillId="33" borderId="22" xfId="52" applyNumberFormat="1" applyFont="1" applyFill="1" applyBorder="1" applyAlignment="1" applyProtection="1">
      <alignment horizontal="right" vertical="center"/>
      <protection locked="0"/>
    </xf>
    <xf numFmtId="4" fontId="26" fillId="33" borderId="23" xfId="52" applyNumberFormat="1" applyFont="1" applyFill="1" applyBorder="1" applyAlignment="1" applyProtection="1">
      <alignment horizontal="right" vertical="center"/>
      <protection locked="0"/>
    </xf>
    <xf numFmtId="0" fontId="7" fillId="0" borderId="10" xfId="52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4" fontId="7" fillId="0" borderId="10" xfId="52" applyNumberFormat="1" applyFont="1" applyFill="1" applyBorder="1" applyAlignment="1">
      <alignment horizontal="center" wrapText="1"/>
      <protection/>
    </xf>
    <xf numFmtId="0" fontId="26" fillId="0" borderId="10" xfId="52" applyFont="1" applyFill="1" applyBorder="1" applyAlignment="1">
      <alignment horizontal="center" vertical="center"/>
      <protection/>
    </xf>
    <xf numFmtId="4" fontId="26" fillId="0" borderId="20" xfId="52" applyNumberFormat="1" applyFont="1" applyFill="1" applyBorder="1" applyAlignment="1">
      <alignment horizontal="center" vertical="center"/>
      <protection/>
    </xf>
    <xf numFmtId="4" fontId="26" fillId="0" borderId="24" xfId="52" applyNumberFormat="1" applyFont="1" applyFill="1" applyBorder="1">
      <alignment/>
      <protection/>
    </xf>
    <xf numFmtId="0" fontId="26" fillId="0" borderId="10" xfId="52" applyFont="1" applyFill="1" applyBorder="1" applyAlignment="1">
      <alignment wrapText="1"/>
      <protection/>
    </xf>
    <xf numFmtId="4" fontId="7" fillId="0" borderId="25" xfId="52" applyNumberFormat="1" applyFont="1" applyFill="1" applyBorder="1">
      <alignment/>
      <protection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3" fontId="58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32" fillId="0" borderId="0" xfId="0" applyFont="1" applyAlignment="1">
      <alignment/>
    </xf>
    <xf numFmtId="10" fontId="2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26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justify" vertical="top" wrapText="1"/>
    </xf>
    <xf numFmtId="4" fontId="7" fillId="0" borderId="26" xfId="0" applyNumberFormat="1" applyFont="1" applyBorder="1" applyAlignment="1">
      <alignment horizontal="center"/>
    </xf>
    <xf numFmtId="0" fontId="26" fillId="0" borderId="27" xfId="0" applyFont="1" applyBorder="1" applyAlignment="1">
      <alignment vertical="top" wrapText="1"/>
    </xf>
    <xf numFmtId="4" fontId="7" fillId="0" borderId="26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6" fillId="0" borderId="16" xfId="0" applyFont="1" applyBorder="1" applyAlignment="1">
      <alignment/>
    </xf>
    <xf numFmtId="4" fontId="26" fillId="0" borderId="1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25" xfId="0" applyFont="1" applyFill="1" applyBorder="1" applyAlignment="1">
      <alignment/>
    </xf>
    <xf numFmtId="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26" fillId="0" borderId="16" xfId="0" applyFont="1" applyBorder="1" applyAlignment="1">
      <alignment wrapText="1"/>
    </xf>
    <xf numFmtId="0" fontId="26" fillId="0" borderId="11" xfId="0" applyFont="1" applyBorder="1" applyAlignment="1">
      <alignment/>
    </xf>
    <xf numFmtId="1" fontId="26" fillId="0" borderId="2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165" fontId="26" fillId="0" borderId="16" xfId="0" applyNumberFormat="1" applyFont="1" applyBorder="1" applyAlignment="1">
      <alignment/>
    </xf>
    <xf numFmtId="166" fontId="26" fillId="0" borderId="16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10" xfId="0" applyFont="1" applyBorder="1" applyAlignment="1">
      <alignment/>
    </xf>
    <xf numFmtId="4" fontId="58" fillId="0" borderId="14" xfId="0" applyNumberFormat="1" applyFont="1" applyBorder="1" applyAlignment="1">
      <alignment/>
    </xf>
    <xf numFmtId="0" fontId="58" fillId="0" borderId="13" xfId="0" applyFont="1" applyFill="1" applyBorder="1" applyAlignment="1">
      <alignment/>
    </xf>
    <xf numFmtId="4" fontId="58" fillId="0" borderId="28" xfId="0" applyNumberFormat="1" applyFont="1" applyBorder="1" applyAlignment="1">
      <alignment/>
    </xf>
    <xf numFmtId="10" fontId="58" fillId="0" borderId="28" xfId="0" applyNumberFormat="1" applyFont="1" applyBorder="1" applyAlignment="1">
      <alignment/>
    </xf>
    <xf numFmtId="0" fontId="58" fillId="0" borderId="10" xfId="0" applyFont="1" applyFill="1" applyBorder="1" applyAlignment="1">
      <alignment/>
    </xf>
    <xf numFmtId="4" fontId="58" fillId="0" borderId="28" xfId="0" applyNumberFormat="1" applyFont="1" applyFill="1" applyBorder="1" applyAlignment="1">
      <alignment/>
    </xf>
    <xf numFmtId="10" fontId="58" fillId="0" borderId="28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8" fontId="7" fillId="0" borderId="0" xfId="0" applyNumberFormat="1" applyFont="1" applyFill="1" applyBorder="1" applyAlignment="1">
      <alignment/>
    </xf>
    <xf numFmtId="8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0" fontId="26" fillId="0" borderId="17" xfId="0" applyNumberFormat="1" applyFont="1" applyBorder="1" applyAlignment="1">
      <alignment/>
    </xf>
    <xf numFmtId="10" fontId="26" fillId="0" borderId="16" xfId="0" applyNumberFormat="1" applyFont="1" applyBorder="1" applyAlignment="1">
      <alignment vertical="center"/>
    </xf>
    <xf numFmtId="10" fontId="7" fillId="0" borderId="2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7" fillId="0" borderId="25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/>
    </xf>
    <xf numFmtId="0" fontId="58" fillId="0" borderId="0" xfId="0" applyFont="1" applyFill="1" applyBorder="1" applyAlignment="1">
      <alignment/>
    </xf>
    <xf numFmtId="0" fontId="26" fillId="0" borderId="24" xfId="0" applyFont="1" applyBorder="1" applyAlignment="1">
      <alignment/>
    </xf>
    <xf numFmtId="1" fontId="26" fillId="0" borderId="1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8" fontId="26" fillId="0" borderId="17" xfId="0" applyNumberFormat="1" applyFont="1" applyBorder="1" applyAlignment="1">
      <alignment/>
    </xf>
    <xf numFmtId="168" fontId="26" fillId="0" borderId="2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68" fontId="7" fillId="0" borderId="14" xfId="0" applyNumberFormat="1" applyFont="1" applyBorder="1" applyAlignment="1">
      <alignment/>
    </xf>
    <xf numFmtId="1" fontId="7" fillId="0" borderId="28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28" xfId="0" applyFont="1" applyBorder="1" applyAlignment="1">
      <alignment/>
    </xf>
    <xf numFmtId="1" fontId="26" fillId="0" borderId="12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/>
    </xf>
    <xf numFmtId="169" fontId="26" fillId="0" borderId="17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7" fillId="0" borderId="25" xfId="0" applyNumberFormat="1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10" fontId="7" fillId="0" borderId="28" xfId="0" applyNumberFormat="1" applyFont="1" applyBorder="1" applyAlignment="1">
      <alignment horizontal="right"/>
    </xf>
    <xf numFmtId="1" fontId="26" fillId="0" borderId="2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169" fontId="26" fillId="0" borderId="16" xfId="0" applyNumberFormat="1" applyFont="1" applyFill="1" applyBorder="1" applyAlignment="1">
      <alignment/>
    </xf>
    <xf numFmtId="4" fontId="5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6" fillId="0" borderId="17" xfId="0" applyFont="1" applyBorder="1" applyAlignment="1">
      <alignment/>
    </xf>
    <xf numFmtId="10" fontId="26" fillId="0" borderId="16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8" xfId="0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6" fillId="0" borderId="24" xfId="0" applyFont="1" applyFill="1" applyBorder="1" applyAlignment="1">
      <alignment/>
    </xf>
    <xf numFmtId="4" fontId="26" fillId="0" borderId="24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/>
    </xf>
    <xf numFmtId="10" fontId="26" fillId="0" borderId="18" xfId="0" applyNumberFormat="1" applyFont="1" applyBorder="1" applyAlignment="1">
      <alignment horizontal="right"/>
    </xf>
    <xf numFmtId="0" fontId="26" fillId="0" borderId="16" xfId="0" applyFont="1" applyFill="1" applyBorder="1" applyAlignment="1">
      <alignment/>
    </xf>
    <xf numFmtId="10" fontId="26" fillId="0" borderId="16" xfId="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0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right"/>
    </xf>
    <xf numFmtId="4" fontId="26" fillId="0" borderId="17" xfId="0" applyNumberFormat="1" applyFont="1" applyFill="1" applyBorder="1" applyAlignment="1">
      <alignment/>
    </xf>
    <xf numFmtId="0" fontId="26" fillId="0" borderId="18" xfId="0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9" fontId="26" fillId="0" borderId="18" xfId="0" applyNumberFormat="1" applyFont="1" applyFill="1" applyBorder="1" applyAlignment="1">
      <alignment horizontal="right"/>
    </xf>
    <xf numFmtId="4" fontId="26" fillId="0" borderId="24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4" xfId="52" applyNumberFormat="1" applyFont="1" applyFill="1" applyBorder="1" applyAlignment="1" applyProtection="1">
      <alignment horizontal="right" vertical="center"/>
      <protection locked="0"/>
    </xf>
    <xf numFmtId="4" fontId="60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28" xfId="0" applyFont="1" applyBorder="1" applyAlignment="1">
      <alignment horizontal="center"/>
    </xf>
    <xf numFmtId="0" fontId="36" fillId="0" borderId="16" xfId="0" applyFont="1" applyBorder="1" applyAlignment="1">
      <alignment/>
    </xf>
    <xf numFmtId="4" fontId="36" fillId="0" borderId="17" xfId="0" applyNumberFormat="1" applyFont="1" applyBorder="1" applyAlignment="1">
      <alignment/>
    </xf>
    <xf numFmtId="4" fontId="35" fillId="0" borderId="28" xfId="0" applyNumberFormat="1" applyFont="1" applyBorder="1" applyAlignment="1">
      <alignment/>
    </xf>
    <xf numFmtId="0" fontId="7" fillId="0" borderId="15" xfId="0" applyFont="1" applyBorder="1" applyAlignment="1">
      <alignment/>
    </xf>
    <xf numFmtId="4" fontId="26" fillId="0" borderId="24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0" borderId="10" xfId="52" applyFont="1" applyFill="1" applyBorder="1" applyAlignment="1">
      <alignment horizontal="center"/>
      <protection/>
    </xf>
    <xf numFmtId="0" fontId="26" fillId="0" borderId="24" xfId="52" applyFont="1" applyFill="1" applyBorder="1" applyAlignment="1">
      <alignment horizontal="center" vertical="center" wrapText="1"/>
      <protection/>
    </xf>
    <xf numFmtId="0" fontId="26" fillId="0" borderId="18" xfId="52" applyFont="1" applyFill="1" applyBorder="1" applyAlignment="1">
      <alignment horizontal="center" vertical="center" wrapText="1"/>
      <protection/>
    </xf>
    <xf numFmtId="4" fontId="7" fillId="0" borderId="28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/>
      <protection/>
    </xf>
    <xf numFmtId="0" fontId="26" fillId="0" borderId="24" xfId="52" applyFont="1" applyFill="1" applyBorder="1" applyAlignment="1">
      <alignment horizontal="center"/>
      <protection/>
    </xf>
    <xf numFmtId="0" fontId="26" fillId="0" borderId="18" xfId="52" applyFont="1" applyFill="1" applyBorder="1" applyAlignment="1">
      <alignment horizontal="center"/>
      <protection/>
    </xf>
    <xf numFmtId="4" fontId="7" fillId="0" borderId="25" xfId="52" applyNumberFormat="1" applyFont="1" applyFill="1" applyBorder="1" applyAlignment="1">
      <alignment horizontal="center"/>
      <protection/>
    </xf>
    <xf numFmtId="4" fontId="7" fillId="0" borderId="29" xfId="52" applyNumberFormat="1" applyFont="1" applyFill="1" applyBorder="1" applyAlignment="1">
      <alignment horizontal="center"/>
      <protection/>
    </xf>
    <xf numFmtId="4" fontId="7" fillId="0" borderId="12" xfId="0" applyNumberFormat="1" applyFont="1" applyBorder="1" applyAlignment="1">
      <alignment horizontal="center"/>
    </xf>
    <xf numFmtId="4" fontId="7" fillId="0" borderId="24" xfId="52" applyNumberFormat="1" applyFont="1" applyFill="1" applyBorder="1" applyAlignment="1">
      <alignment horizontal="right" vertical="center"/>
      <protection/>
    </xf>
    <xf numFmtId="4" fontId="7" fillId="0" borderId="16" xfId="52" applyNumberFormat="1" applyFont="1" applyFill="1" applyBorder="1" applyAlignment="1">
      <alignment horizontal="right" vertical="center"/>
      <protection/>
    </xf>
    <xf numFmtId="0" fontId="56" fillId="0" borderId="12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7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55" fillId="0" borderId="17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7" fillId="34" borderId="13" xfId="0" applyFont="1" applyFill="1" applyBorder="1" applyAlignment="1">
      <alignment vertical="center" wrapText="1"/>
    </xf>
    <xf numFmtId="4" fontId="26" fillId="35" borderId="10" xfId="52" applyNumberFormat="1" applyFont="1" applyFill="1" applyBorder="1" applyAlignment="1">
      <alignment horizontal="center"/>
      <protection/>
    </xf>
    <xf numFmtId="4" fontId="26" fillId="35" borderId="10" xfId="52" applyNumberFormat="1" applyFont="1" applyFill="1" applyBorder="1">
      <alignment/>
      <protection/>
    </xf>
    <xf numFmtId="4" fontId="26" fillId="35" borderId="10" xfId="52" applyNumberFormat="1" applyFont="1" applyFill="1" applyBorder="1" applyAlignment="1" applyProtection="1">
      <alignment horizontal="right" vertical="center"/>
      <protection locked="0"/>
    </xf>
    <xf numFmtId="4" fontId="26" fillId="36" borderId="10" xfId="52" applyNumberFormat="1" applyFont="1" applyFill="1" applyBorder="1" applyAlignment="1">
      <alignment horizontal="center" vertical="center"/>
      <protection/>
    </xf>
    <xf numFmtId="4" fontId="26" fillId="36" borderId="10" xfId="52" applyNumberFormat="1" applyFont="1" applyFill="1" applyBorder="1" applyAlignment="1" applyProtection="1">
      <alignment horizontal="right" vertical="center"/>
      <protection locked="0"/>
    </xf>
    <xf numFmtId="44" fontId="26" fillId="0" borderId="18" xfId="64" applyFont="1" applyBorder="1" applyAlignment="1">
      <alignment/>
    </xf>
    <xf numFmtId="44" fontId="26" fillId="0" borderId="0" xfId="64" applyFont="1" applyAlignment="1">
      <alignment/>
    </xf>
    <xf numFmtId="44" fontId="26" fillId="0" borderId="24" xfId="64" applyFont="1" applyBorder="1" applyAlignment="1">
      <alignment/>
    </xf>
    <xf numFmtId="44" fontId="26" fillId="0" borderId="0" xfId="64" applyFont="1" applyBorder="1" applyAlignment="1">
      <alignment/>
    </xf>
    <xf numFmtId="44" fontId="26" fillId="0" borderId="17" xfId="64" applyFont="1" applyBorder="1" applyAlignment="1">
      <alignment/>
    </xf>
    <xf numFmtId="44" fontId="7" fillId="0" borderId="28" xfId="64" applyFont="1" applyBorder="1" applyAlignment="1">
      <alignment/>
    </xf>
    <xf numFmtId="44" fontId="26" fillId="0" borderId="10" xfId="64" applyFont="1" applyBorder="1" applyAlignment="1">
      <alignment/>
    </xf>
    <xf numFmtId="10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center"/>
    </xf>
    <xf numFmtId="10" fontId="26" fillId="0" borderId="10" xfId="0" applyNumberFormat="1" applyFont="1" applyBorder="1" applyAlignment="1">
      <alignment horizontal="righ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4"/>
  <sheetViews>
    <sheetView tabSelected="1" zoomScalePageLayoutView="0" workbookViewId="0" topLeftCell="A181">
      <selection activeCell="C210" sqref="C210:AA210"/>
    </sheetView>
  </sheetViews>
  <sheetFormatPr defaultColWidth="9.140625" defaultRowHeight="12.75"/>
  <cols>
    <col min="1" max="1" width="10.7109375" style="0" customWidth="1"/>
    <col min="2" max="2" width="39.7109375" style="0" customWidth="1"/>
    <col min="3" max="3" width="12.57421875" style="0" customWidth="1"/>
    <col min="4" max="4" width="13.00390625" style="0" customWidth="1"/>
    <col min="5" max="5" width="12.00390625" style="0" customWidth="1"/>
    <col min="6" max="6" width="12.421875" style="0" customWidth="1"/>
    <col min="7" max="7" width="10.00390625" style="0" customWidth="1"/>
    <col min="8" max="10" width="8.7109375" style="0" customWidth="1"/>
    <col min="11" max="27" width="7.57421875" style="0" customWidth="1"/>
    <col min="28" max="28" width="12.57421875" style="0" customWidth="1"/>
  </cols>
  <sheetData>
    <row r="1" spans="1:40" ht="12.75">
      <c r="A1" s="27"/>
      <c r="B1" s="54" t="s">
        <v>118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12.75">
      <c r="A2" s="27"/>
      <c r="B2" s="61" t="s">
        <v>0</v>
      </c>
      <c r="C2" s="62" t="s">
        <v>3</v>
      </c>
      <c r="D2" s="62" t="s">
        <v>4</v>
      </c>
      <c r="E2" s="62" t="s">
        <v>5</v>
      </c>
      <c r="F2" s="62" t="s">
        <v>7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40" ht="12.75">
      <c r="A3" s="27"/>
      <c r="B3" s="68" t="s">
        <v>214</v>
      </c>
      <c r="C3" s="114">
        <f>SUM('Nakłady - źródła finansowania'!D23:D24)</f>
        <v>122351.42000000001</v>
      </c>
      <c r="D3" s="114">
        <v>0</v>
      </c>
      <c r="E3" s="114">
        <f>SUM('Nakłady - źródła finansowania'!H4:K5)+SUM('Nakłady - źródła finansowania'!L55:O56)</f>
        <v>0</v>
      </c>
      <c r="F3" s="114">
        <f aca="true" t="shared" si="0" ref="F3:F8">SUM(C3:E3)</f>
        <v>122351.42000000001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159"/>
      <c r="AF3" s="159"/>
      <c r="AG3" s="159"/>
      <c r="AH3" s="159"/>
      <c r="AI3" s="159"/>
      <c r="AJ3" s="159"/>
      <c r="AK3" s="159"/>
      <c r="AL3" s="159"/>
      <c r="AM3" s="159"/>
      <c r="AN3" s="159"/>
    </row>
    <row r="4" spans="1:40" ht="12.75">
      <c r="A4" s="27"/>
      <c r="B4" s="68" t="s">
        <v>160</v>
      </c>
      <c r="C4" s="114">
        <f>'Nakłady - źródła finansowania'!D25</f>
        <v>32815.55</v>
      </c>
      <c r="D4" s="114">
        <v>0</v>
      </c>
      <c r="E4" s="114">
        <f>SUM('Nakłady - źródła finansowania'!H6:K7)</f>
        <v>0</v>
      </c>
      <c r="F4" s="114">
        <f t="shared" si="0"/>
        <v>32815.55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ht="12.75">
      <c r="A5" s="27"/>
      <c r="B5" s="4" t="s">
        <v>183</v>
      </c>
      <c r="C5" s="114">
        <f>'Nakłady - źródła finansowania'!D26</f>
        <v>263499.99</v>
      </c>
      <c r="D5" s="114">
        <v>0</v>
      </c>
      <c r="E5" s="114">
        <f>SUM('Nakłady - źródła finansowania'!H8:K9)</f>
        <v>0</v>
      </c>
      <c r="F5" s="114">
        <f t="shared" si="0"/>
        <v>263499.99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59"/>
      <c r="AF5" s="159"/>
      <c r="AG5" s="159"/>
      <c r="AH5" s="159"/>
      <c r="AI5" s="159"/>
      <c r="AJ5" s="159"/>
      <c r="AK5" s="159"/>
      <c r="AL5" s="159"/>
      <c r="AM5" s="159"/>
      <c r="AN5" s="159"/>
    </row>
    <row r="6" spans="1:40" ht="12.75">
      <c r="A6" s="27"/>
      <c r="B6" s="4" t="s">
        <v>184</v>
      </c>
      <c r="C6" s="114">
        <f>SUM('Nakłady - źródła finansowania'!D27:D33)</f>
        <v>622758.47</v>
      </c>
      <c r="D6" s="114">
        <v>0</v>
      </c>
      <c r="E6" s="114">
        <f>SUM('Nakłady - źródła finansowania'!H9:K10)</f>
        <v>0</v>
      </c>
      <c r="F6" s="114">
        <f t="shared" si="0"/>
        <v>622758.47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59"/>
      <c r="AF6" s="159"/>
      <c r="AG6" s="159"/>
      <c r="AH6" s="159"/>
      <c r="AI6" s="159"/>
      <c r="AJ6" s="159"/>
      <c r="AK6" s="159"/>
      <c r="AL6" s="159"/>
      <c r="AM6" s="159"/>
      <c r="AN6" s="159"/>
    </row>
    <row r="7" spans="1:40" ht="12.75">
      <c r="A7" s="27"/>
      <c r="B7" s="68" t="s">
        <v>234</v>
      </c>
      <c r="C7" s="114">
        <v>46882</v>
      </c>
      <c r="D7" s="114">
        <v>162384</v>
      </c>
      <c r="E7" s="114">
        <v>152274</v>
      </c>
      <c r="F7" s="114">
        <f t="shared" si="0"/>
        <v>361540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ht="12.75">
      <c r="A8" s="27"/>
      <c r="B8" s="61" t="s">
        <v>196</v>
      </c>
      <c r="C8" s="65">
        <f>SUM(C3:C7)</f>
        <v>1088307.43</v>
      </c>
      <c r="D8" s="65">
        <f>SUM(D3:D7)</f>
        <v>162384</v>
      </c>
      <c r="E8" s="65">
        <f>SUM(E3:E7)</f>
        <v>152274</v>
      </c>
      <c r="F8" s="65">
        <f t="shared" si="0"/>
        <v>1402965.43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12.75">
      <c r="A9" s="27"/>
      <c r="B9" s="27"/>
      <c r="C9" s="9"/>
      <c r="D9" s="9"/>
      <c r="E9" s="9"/>
      <c r="F9" s="6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12.75">
      <c r="A10" s="27"/>
      <c r="B10" s="27"/>
      <c r="C10" s="9"/>
      <c r="D10" s="9"/>
      <c r="E10" s="9"/>
      <c r="F10" s="6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12.75">
      <c r="A11" s="27"/>
      <c r="B11" s="27"/>
      <c r="C11" s="27"/>
      <c r="D11" s="27"/>
      <c r="E11" s="27"/>
      <c r="F11" s="9"/>
      <c r="G11" s="9"/>
      <c r="H11" s="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</row>
    <row r="12" spans="1:40" ht="12.75">
      <c r="A12" s="27"/>
      <c r="B12" s="54" t="s">
        <v>137</v>
      </c>
      <c r="C12" s="27"/>
      <c r="D12" s="27"/>
      <c r="E12" s="27"/>
      <c r="F12" s="27"/>
      <c r="G12" s="27"/>
      <c r="H12" s="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2.75">
      <c r="A13" s="27"/>
      <c r="B13" s="61" t="s">
        <v>0</v>
      </c>
      <c r="C13" s="62" t="s">
        <v>3</v>
      </c>
      <c r="D13" s="62" t="s">
        <v>4</v>
      </c>
      <c r="E13" s="62" t="s">
        <v>5</v>
      </c>
      <c r="F13" s="62" t="s">
        <v>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</row>
    <row r="14" spans="1:40" ht="12.75">
      <c r="A14" s="27"/>
      <c r="B14" s="63" t="s">
        <v>69</v>
      </c>
      <c r="C14" s="64">
        <f>SUM('Nakłady - źródła finansowania'!D23:D33)</f>
        <v>1041425.4300000002</v>
      </c>
      <c r="D14" s="64"/>
      <c r="E14" s="64"/>
      <c r="F14" s="64">
        <f>SUM(C14:E14)</f>
        <v>1041425.4300000002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</row>
    <row r="15" spans="1:40" ht="12.75">
      <c r="A15" s="27"/>
      <c r="B15" s="63" t="s">
        <v>70</v>
      </c>
      <c r="C15" s="64"/>
      <c r="D15" s="64"/>
      <c r="E15" s="64"/>
      <c r="F15" s="64">
        <f>SUM(C15:E15)</f>
        <v>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ht="12.75">
      <c r="A16" s="27"/>
      <c r="B16" s="61" t="s">
        <v>53</v>
      </c>
      <c r="C16" s="65">
        <f>SUM(C14:C15)</f>
        <v>1041425.4300000002</v>
      </c>
      <c r="D16" s="65">
        <f>SUM(D14:D15)</f>
        <v>0</v>
      </c>
      <c r="E16" s="65">
        <f>SUM(E14:E15)</f>
        <v>0</v>
      </c>
      <c r="F16" s="65">
        <f>SUM(F14:F15)</f>
        <v>1041425.4300000002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</row>
    <row r="17" spans="1:40" ht="12.75">
      <c r="A17" s="27"/>
      <c r="B17" s="27"/>
      <c r="C17" s="27"/>
      <c r="D17" s="2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27"/>
      <c r="X17" s="27"/>
      <c r="Y17" s="27"/>
      <c r="Z17" s="27"/>
      <c r="AA17" s="27"/>
      <c r="AB17" s="27"/>
      <c r="AC17" s="27"/>
      <c r="AD17" s="27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</row>
    <row r="18" spans="1:40" ht="12.75">
      <c r="A18" s="27"/>
      <c r="B18" s="68"/>
      <c r="C18" s="69" t="s">
        <v>150</v>
      </c>
      <c r="D18" s="69" t="s">
        <v>151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27"/>
      <c r="X18" s="27"/>
      <c r="Y18" s="27"/>
      <c r="Z18" s="27"/>
      <c r="AA18" s="27"/>
      <c r="AB18" s="27"/>
      <c r="AC18" s="27"/>
      <c r="AD18" s="27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1:40" ht="12.75">
      <c r="A19" s="27"/>
      <c r="B19" s="70" t="s">
        <v>149</v>
      </c>
      <c r="C19" s="71"/>
      <c r="D19" s="72">
        <v>0</v>
      </c>
      <c r="E19" s="27"/>
      <c r="F19" s="67"/>
      <c r="G19" s="67"/>
      <c r="H19" s="115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27"/>
      <c r="X19" s="27"/>
      <c r="Y19" s="27"/>
      <c r="Z19" s="27"/>
      <c r="AA19" s="27"/>
      <c r="AB19" s="27"/>
      <c r="AC19" s="27"/>
      <c r="AD19" s="27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</row>
    <row r="20" spans="1:40" ht="12.75">
      <c r="A20" s="27"/>
      <c r="B20" s="27"/>
      <c r="C20" s="27"/>
      <c r="D20" s="27"/>
      <c r="E20" s="27"/>
      <c r="F20" s="67"/>
      <c r="G20" s="67"/>
      <c r="H20" s="115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27"/>
      <c r="X20" s="27"/>
      <c r="Y20" s="27"/>
      <c r="Z20" s="27"/>
      <c r="AA20" s="27"/>
      <c r="AB20" s="27"/>
      <c r="AC20" s="27"/>
      <c r="AD20" s="27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1:40" ht="12.75">
      <c r="A21" s="27"/>
      <c r="B21" s="27"/>
      <c r="C21" s="27"/>
      <c r="D21" s="9"/>
      <c r="E21" s="67"/>
      <c r="F21" s="67"/>
      <c r="G21" s="67"/>
      <c r="H21" s="115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27"/>
      <c r="X21" s="27"/>
      <c r="Y21" s="27"/>
      <c r="Z21" s="27"/>
      <c r="AA21" s="27"/>
      <c r="AB21" s="27"/>
      <c r="AC21" s="27"/>
      <c r="AD21" s="27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</row>
    <row r="22" spans="1:40" ht="12.75">
      <c r="A22" s="27"/>
      <c r="B22" s="108"/>
      <c r="C22" s="9"/>
      <c r="D22" s="27"/>
      <c r="E22" s="27"/>
      <c r="F22" s="9"/>
      <c r="G22" s="27"/>
      <c r="H22" s="9"/>
      <c r="I22" s="27"/>
      <c r="J22" s="6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</row>
    <row r="23" spans="1:40" ht="12.75">
      <c r="A23" s="27"/>
      <c r="B23" s="54" t="s">
        <v>121</v>
      </c>
      <c r="C23" s="27"/>
      <c r="D23" s="27"/>
      <c r="E23" s="27"/>
      <c r="F23" s="27"/>
      <c r="G23" s="27"/>
      <c r="H23" s="27"/>
      <c r="I23" s="27"/>
      <c r="J23" s="6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</row>
    <row r="24" spans="1:40" ht="24.75" customHeight="1">
      <c r="A24" s="27"/>
      <c r="B24" s="61" t="s">
        <v>0</v>
      </c>
      <c r="C24" s="62" t="s">
        <v>1</v>
      </c>
      <c r="D24" s="62" t="s">
        <v>2</v>
      </c>
      <c r="E24" s="62" t="s">
        <v>3</v>
      </c>
      <c r="F24" s="62" t="s">
        <v>7</v>
      </c>
      <c r="G24" s="62" t="s">
        <v>55</v>
      </c>
      <c r="H24" s="6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</row>
    <row r="25" spans="1:40" ht="12.75">
      <c r="A25" s="27"/>
      <c r="B25" s="63" t="s">
        <v>8</v>
      </c>
      <c r="C25" s="234">
        <v>823925.43</v>
      </c>
      <c r="D25" s="235">
        <v>0</v>
      </c>
      <c r="E25" s="234">
        <v>0</v>
      </c>
      <c r="F25" s="236">
        <f>SUM(C25:E25)</f>
        <v>823925.43</v>
      </c>
      <c r="G25" s="116">
        <f>F25/F27</f>
        <v>0.587274221004861</v>
      </c>
      <c r="H25" s="6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</row>
    <row r="26" spans="1:40" ht="12.75">
      <c r="A26" s="27"/>
      <c r="B26" s="63" t="s">
        <v>219</v>
      </c>
      <c r="C26" s="232">
        <v>264382</v>
      </c>
      <c r="D26" s="233">
        <v>162384</v>
      </c>
      <c r="E26" s="232">
        <v>152274</v>
      </c>
      <c r="F26" s="236">
        <f>SUM(C26:E26)</f>
        <v>579040</v>
      </c>
      <c r="G26" s="117">
        <f>F26/F27</f>
        <v>0.41272577899513885</v>
      </c>
      <c r="H26" s="6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</row>
    <row r="27" spans="1:40" ht="12.75">
      <c r="A27" s="27"/>
      <c r="B27" s="61" t="s">
        <v>54</v>
      </c>
      <c r="C27" s="237">
        <f>C26+C25</f>
        <v>1088307.4300000002</v>
      </c>
      <c r="D27" s="237">
        <f>D26+D25</f>
        <v>162384</v>
      </c>
      <c r="E27" s="237">
        <f>E26+E25</f>
        <v>152274</v>
      </c>
      <c r="F27" s="237">
        <f>SUM(F25:F26)</f>
        <v>1402965.4300000002</v>
      </c>
      <c r="G27" s="118">
        <f>SUM(G25:G26)</f>
        <v>0.9999999999999999</v>
      </c>
      <c r="H27" s="6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</row>
    <row r="28" spans="1:40" ht="12.75">
      <c r="A28" s="27"/>
      <c r="B28" s="108"/>
      <c r="C28" s="27"/>
      <c r="D28" s="27"/>
      <c r="E28" s="9"/>
      <c r="F28" s="9"/>
      <c r="G28" s="27"/>
      <c r="H28" s="6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</row>
    <row r="29" spans="1:40" ht="12.75">
      <c r="A29" s="27"/>
      <c r="B29" s="54" t="s">
        <v>136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</row>
    <row r="30" spans="1:40" ht="12.75">
      <c r="A30" s="27"/>
      <c r="B30" s="61" t="s">
        <v>0</v>
      </c>
      <c r="C30" s="62" t="s">
        <v>1</v>
      </c>
      <c r="D30" s="62" t="s">
        <v>2</v>
      </c>
      <c r="E30" s="62" t="s">
        <v>3</v>
      </c>
      <c r="F30" s="62" t="s">
        <v>7</v>
      </c>
      <c r="G30" s="62" t="s">
        <v>55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</row>
    <row r="31" spans="1:40" ht="12.75">
      <c r="A31" s="27"/>
      <c r="B31" s="63" t="s">
        <v>8</v>
      </c>
      <c r="C31" s="64">
        <v>0</v>
      </c>
      <c r="D31" s="64">
        <v>0</v>
      </c>
      <c r="E31" s="64">
        <v>0</v>
      </c>
      <c r="F31" s="64">
        <f>SUM(C31:E31)</f>
        <v>0</v>
      </c>
      <c r="G31" s="116" t="e">
        <f>F31/F33</f>
        <v>#DIV/0!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</row>
    <row r="32" spans="1:40" ht="12.75">
      <c r="A32" s="27"/>
      <c r="B32" s="63" t="s">
        <v>219</v>
      </c>
      <c r="C32" s="64">
        <f>C15</f>
        <v>0</v>
      </c>
      <c r="D32" s="64">
        <f>D15</f>
        <v>0</v>
      </c>
      <c r="E32" s="64">
        <f>E15</f>
        <v>0</v>
      </c>
      <c r="F32" s="64">
        <f>SUM(C32:E32)</f>
        <v>0</v>
      </c>
      <c r="G32" s="117" t="e">
        <f>F32/F33</f>
        <v>#DIV/0!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</row>
    <row r="33" spans="1:40" ht="12.75">
      <c r="A33" s="27"/>
      <c r="B33" s="61" t="s">
        <v>54</v>
      </c>
      <c r="C33" s="65">
        <f>C32+C31</f>
        <v>0</v>
      </c>
      <c r="D33" s="65">
        <f>D32+D31</f>
        <v>0</v>
      </c>
      <c r="E33" s="65">
        <f>E32+E31</f>
        <v>0</v>
      </c>
      <c r="F33" s="65">
        <f>SUM(F31:F32)</f>
        <v>0</v>
      </c>
      <c r="G33" s="118" t="e">
        <f>SUM(G31:G32)</f>
        <v>#DIV/0!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</row>
    <row r="34" spans="1:40" ht="12.75">
      <c r="A34" s="27"/>
      <c r="B34" s="74"/>
      <c r="C34" s="119"/>
      <c r="D34" s="119"/>
      <c r="E34" s="120"/>
      <c r="F34" s="120"/>
      <c r="G34" s="12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</row>
    <row r="35" spans="1:40" ht="12.75">
      <c r="A35" s="27"/>
      <c r="B35" s="74"/>
      <c r="C35" s="119"/>
      <c r="D35" s="119"/>
      <c r="E35" s="120"/>
      <c r="F35" s="120"/>
      <c r="G35" s="120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</row>
    <row r="36" spans="1:40" ht="12.75">
      <c r="A36" s="27"/>
      <c r="B36" s="54" t="s">
        <v>66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</row>
    <row r="37" spans="1:40" ht="24.75" customHeight="1">
      <c r="A37" s="27"/>
      <c r="B37" s="61" t="s">
        <v>0</v>
      </c>
      <c r="C37" s="62" t="s">
        <v>3</v>
      </c>
      <c r="D37" s="62" t="s">
        <v>4</v>
      </c>
      <c r="E37" s="62" t="s">
        <v>5</v>
      </c>
      <c r="F37" s="62" t="s">
        <v>7</v>
      </c>
      <c r="G37" s="62" t="s">
        <v>55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</row>
    <row r="38" spans="1:40" ht="12.75">
      <c r="A38" s="27"/>
      <c r="B38" s="63" t="s">
        <v>8</v>
      </c>
      <c r="C38" s="234">
        <v>823925.43</v>
      </c>
      <c r="D38" s="235">
        <v>0</v>
      </c>
      <c r="E38" s="234">
        <v>0</v>
      </c>
      <c r="F38" s="236">
        <f>SUM(C38:E38)</f>
        <v>823925.43</v>
      </c>
      <c r="G38" s="116">
        <f>F38/F40</f>
        <v>0.587274221004861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</row>
    <row r="39" spans="1:40" ht="12.75">
      <c r="A39" s="27"/>
      <c r="B39" s="63" t="s">
        <v>219</v>
      </c>
      <c r="C39" s="232">
        <v>264382</v>
      </c>
      <c r="D39" s="233">
        <v>162384</v>
      </c>
      <c r="E39" s="232">
        <v>152274</v>
      </c>
      <c r="F39" s="236">
        <f>SUM(C39:E39)</f>
        <v>579040</v>
      </c>
      <c r="G39" s="117">
        <f>F39/F40</f>
        <v>0.41272577899513885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</row>
    <row r="40" spans="1:40" ht="12.75">
      <c r="A40" s="27"/>
      <c r="B40" s="61" t="s">
        <v>54</v>
      </c>
      <c r="C40" s="65">
        <f>C38+C39</f>
        <v>1088307.4300000002</v>
      </c>
      <c r="D40" s="65">
        <f>D38+D39</f>
        <v>162384</v>
      </c>
      <c r="E40" s="65">
        <f>E38+E39</f>
        <v>152274</v>
      </c>
      <c r="F40" s="65">
        <f>F38+F39</f>
        <v>1402965.4300000002</v>
      </c>
      <c r="G40" s="118">
        <f>SUM(G38:G39)</f>
        <v>0.9999999999999999</v>
      </c>
      <c r="H40" s="27"/>
      <c r="J40" s="27"/>
      <c r="K40" s="27"/>
      <c r="L40" s="27"/>
      <c r="N40" s="27"/>
      <c r="O40" s="27"/>
      <c r="P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</row>
    <row r="41" spans="1:40" ht="12.75">
      <c r="A41" s="27"/>
      <c r="B41" s="74"/>
      <c r="C41" s="121"/>
      <c r="D41" s="121"/>
      <c r="E41" s="121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</row>
    <row r="42" spans="1:40" ht="12.75">
      <c r="A42" s="27"/>
      <c r="B42" s="27"/>
      <c r="C42" s="27"/>
      <c r="D42" s="27"/>
      <c r="E42" s="27"/>
      <c r="F42" s="9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</row>
    <row r="43" spans="1:40" ht="12.75">
      <c r="A43" s="27"/>
      <c r="B43" s="54" t="s">
        <v>65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</row>
    <row r="44" spans="1:40" ht="24.75" customHeight="1">
      <c r="A44" s="27"/>
      <c r="B44" s="61" t="s">
        <v>0</v>
      </c>
      <c r="C44" s="11" t="s">
        <v>3</v>
      </c>
      <c r="D44" s="175" t="s">
        <v>4</v>
      </c>
      <c r="E44" s="175" t="s">
        <v>5</v>
      </c>
      <c r="F44" s="62" t="s">
        <v>6</v>
      </c>
      <c r="G44" s="62" t="s">
        <v>7</v>
      </c>
      <c r="H44" s="62" t="s">
        <v>55</v>
      </c>
      <c r="I44" s="27"/>
      <c r="J44" s="9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59"/>
      <c r="AG44" s="159"/>
      <c r="AH44" s="159"/>
      <c r="AI44" s="159"/>
      <c r="AJ44" s="159"/>
      <c r="AK44" s="159"/>
      <c r="AL44" s="159"/>
      <c r="AM44" s="159"/>
      <c r="AN44" s="159"/>
    </row>
    <row r="45" spans="1:40" ht="12.75">
      <c r="A45" s="27"/>
      <c r="B45" s="81" t="s">
        <v>8</v>
      </c>
      <c r="C45" s="238">
        <v>823925.43</v>
      </c>
      <c r="D45" s="238">
        <v>0</v>
      </c>
      <c r="E45" s="238">
        <v>0</v>
      </c>
      <c r="F45" s="114">
        <f>D19-E45</f>
        <v>0</v>
      </c>
      <c r="G45" s="114">
        <f>SUM(C45:F45)</f>
        <v>823925.43</v>
      </c>
      <c r="H45" s="239">
        <f>G45/G49</f>
        <v>0.587274221004861</v>
      </c>
      <c r="I45" s="27"/>
      <c r="J45" s="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2.75">
      <c r="A46" s="27"/>
      <c r="B46" s="81" t="s">
        <v>219</v>
      </c>
      <c r="C46" s="238">
        <v>264382</v>
      </c>
      <c r="D46" s="238">
        <v>162384</v>
      </c>
      <c r="E46" s="238">
        <v>152274</v>
      </c>
      <c r="F46" s="114">
        <v>0</v>
      </c>
      <c r="G46" s="114">
        <f>SUM(C46:F46)</f>
        <v>579040</v>
      </c>
      <c r="H46" s="239">
        <f>G46/G49</f>
        <v>0.41272577899513885</v>
      </c>
      <c r="I46" s="27"/>
      <c r="J46" s="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1:40" ht="12.75">
      <c r="A47" s="27"/>
      <c r="B47" s="81" t="s">
        <v>197</v>
      </c>
      <c r="C47" s="114">
        <v>0</v>
      </c>
      <c r="D47" s="114">
        <f>D16-D45</f>
        <v>0</v>
      </c>
      <c r="E47" s="114">
        <f>E16-E45</f>
        <v>0</v>
      </c>
      <c r="F47" s="114">
        <v>0</v>
      </c>
      <c r="G47" s="240">
        <f>SUM(C47:F47)-SUM(C48:F48)</f>
        <v>0</v>
      </c>
      <c r="H47" s="241">
        <f>G47/G49</f>
        <v>0</v>
      </c>
      <c r="I47" s="27"/>
      <c r="J47" s="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59"/>
      <c r="AG47" s="159"/>
      <c r="AH47" s="159"/>
      <c r="AI47" s="159"/>
      <c r="AJ47" s="159"/>
      <c r="AK47" s="159"/>
      <c r="AL47" s="159"/>
      <c r="AM47" s="159"/>
      <c r="AN47" s="159"/>
    </row>
    <row r="48" spans="1:40" ht="12.75">
      <c r="A48" s="27"/>
      <c r="B48" s="81" t="s">
        <v>198</v>
      </c>
      <c r="C48" s="114">
        <v>0</v>
      </c>
      <c r="D48" s="114">
        <v>0</v>
      </c>
      <c r="E48" s="114">
        <v>0</v>
      </c>
      <c r="F48" s="114">
        <f>F45</f>
        <v>0</v>
      </c>
      <c r="G48" s="240"/>
      <c r="H48" s="241"/>
      <c r="I48" s="27"/>
      <c r="J48" s="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ht="12.75">
      <c r="A49" s="27"/>
      <c r="B49" s="61" t="s">
        <v>54</v>
      </c>
      <c r="C49" s="65">
        <f>C47+C45-C48</f>
        <v>823925.43</v>
      </c>
      <c r="D49" s="65">
        <f>D47+D45-D48</f>
        <v>0</v>
      </c>
      <c r="E49" s="65">
        <f>E47+E45-E48</f>
        <v>0</v>
      </c>
      <c r="F49" s="65">
        <f>F47+F45-F48</f>
        <v>0</v>
      </c>
      <c r="G49" s="65">
        <f>SUM(G45:G47)</f>
        <v>1402965.4300000002</v>
      </c>
      <c r="H49" s="152">
        <f>SUM(H45:H47)</f>
        <v>0.9999999999999999</v>
      </c>
      <c r="I49" s="9"/>
      <c r="J49" s="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ht="12.75">
      <c r="A50" s="27"/>
      <c r="B50" s="27"/>
      <c r="C50" s="27"/>
      <c r="D50" s="27"/>
      <c r="E50" s="27"/>
      <c r="F50" s="27"/>
      <c r="G50" s="9"/>
      <c r="H50" s="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2.75">
      <c r="A52" s="27"/>
      <c r="B52" s="54" t="s">
        <v>9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2.75">
      <c r="A53" s="27"/>
      <c r="B53" s="27"/>
      <c r="C53" s="122">
        <v>0</v>
      </c>
      <c r="D53" s="122">
        <v>1</v>
      </c>
      <c r="E53" s="122">
        <v>2</v>
      </c>
      <c r="F53" s="122">
        <v>3</v>
      </c>
      <c r="G53" s="122">
        <v>4</v>
      </c>
      <c r="H53" s="122">
        <v>5</v>
      </c>
      <c r="I53" s="122">
        <v>6</v>
      </c>
      <c r="J53" s="122">
        <v>7</v>
      </c>
      <c r="K53" s="122">
        <v>8</v>
      </c>
      <c r="L53" s="122">
        <v>9</v>
      </c>
      <c r="M53" s="122">
        <v>10</v>
      </c>
      <c r="N53" s="122">
        <v>11</v>
      </c>
      <c r="O53" s="122">
        <v>12</v>
      </c>
      <c r="P53" s="122">
        <v>13</v>
      </c>
      <c r="Q53" s="122">
        <v>14</v>
      </c>
      <c r="R53" s="122">
        <v>15</v>
      </c>
      <c r="S53" s="122">
        <v>16</v>
      </c>
      <c r="T53" s="122">
        <v>17</v>
      </c>
      <c r="U53" s="122">
        <v>18</v>
      </c>
      <c r="V53" s="122">
        <v>19</v>
      </c>
      <c r="W53" s="122">
        <v>20</v>
      </c>
      <c r="X53" s="122">
        <v>21</v>
      </c>
      <c r="Y53" s="122">
        <v>22</v>
      </c>
      <c r="Z53" s="122">
        <v>23</v>
      </c>
      <c r="AA53" s="122">
        <v>24</v>
      </c>
      <c r="AB53" s="27"/>
      <c r="AC53" s="27"/>
      <c r="AD53" s="27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40" ht="12.75">
      <c r="A54" s="27"/>
      <c r="B54" s="61" t="s">
        <v>0</v>
      </c>
      <c r="C54" s="62" t="s">
        <v>2</v>
      </c>
      <c r="D54" s="62" t="s">
        <v>3</v>
      </c>
      <c r="E54" s="62" t="s">
        <v>4</v>
      </c>
      <c r="F54" s="62" t="s">
        <v>5</v>
      </c>
      <c r="G54" s="62" t="s">
        <v>6</v>
      </c>
      <c r="H54" s="62" t="s">
        <v>50</v>
      </c>
      <c r="I54" s="62" t="s">
        <v>110</v>
      </c>
      <c r="J54" s="62" t="s">
        <v>111</v>
      </c>
      <c r="K54" s="62" t="s">
        <v>112</v>
      </c>
      <c r="L54" s="62" t="s">
        <v>113</v>
      </c>
      <c r="M54" s="62" t="s">
        <v>114</v>
      </c>
      <c r="N54" s="62" t="s">
        <v>115</v>
      </c>
      <c r="O54" s="62" t="s">
        <v>116</v>
      </c>
      <c r="P54" s="62" t="s">
        <v>168</v>
      </c>
      <c r="Q54" s="62" t="s">
        <v>169</v>
      </c>
      <c r="R54" s="62" t="s">
        <v>170</v>
      </c>
      <c r="S54" s="62" t="s">
        <v>171</v>
      </c>
      <c r="T54" s="62" t="s">
        <v>172</v>
      </c>
      <c r="U54" s="62" t="s">
        <v>173</v>
      </c>
      <c r="V54" s="62" t="s">
        <v>174</v>
      </c>
      <c r="W54" s="62" t="s">
        <v>175</v>
      </c>
      <c r="X54" s="62" t="s">
        <v>176</v>
      </c>
      <c r="Y54" s="62" t="s">
        <v>177</v>
      </c>
      <c r="Z54" s="62" t="s">
        <v>178</v>
      </c>
      <c r="AA54" s="62" t="s">
        <v>179</v>
      </c>
      <c r="AB54" s="27"/>
      <c r="AC54" s="27"/>
      <c r="AD54" s="27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ht="12.75">
      <c r="A55" s="27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27"/>
      <c r="AC55" s="27"/>
      <c r="AD55" s="27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</row>
    <row r="56" spans="1:40" ht="12.75" hidden="1">
      <c r="A56" s="27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27"/>
      <c r="AC56" s="27"/>
      <c r="AD56" s="27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</row>
    <row r="57" spans="1:40" ht="12.75">
      <c r="A57" s="27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27"/>
      <c r="AC57" s="27"/>
      <c r="AD57" s="27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</row>
    <row r="58" spans="1:40" ht="12.75">
      <c r="A58" s="27"/>
      <c r="B58" s="61" t="s">
        <v>52</v>
      </c>
      <c r="C58" s="65">
        <f aca="true" t="shared" si="1" ref="C58:Q58">SUM(C55:C57)*$E$228</f>
        <v>0</v>
      </c>
      <c r="D58" s="65">
        <f t="shared" si="1"/>
        <v>0</v>
      </c>
      <c r="E58" s="65">
        <f t="shared" si="1"/>
        <v>0</v>
      </c>
      <c r="F58" s="65">
        <f t="shared" si="1"/>
        <v>0</v>
      </c>
      <c r="G58" s="65">
        <f t="shared" si="1"/>
        <v>0</v>
      </c>
      <c r="H58" s="65">
        <f t="shared" si="1"/>
        <v>0</v>
      </c>
      <c r="I58" s="65">
        <f t="shared" si="1"/>
        <v>0</v>
      </c>
      <c r="J58" s="65">
        <f t="shared" si="1"/>
        <v>0</v>
      </c>
      <c r="K58" s="65">
        <f t="shared" si="1"/>
        <v>0</v>
      </c>
      <c r="L58" s="65">
        <f t="shared" si="1"/>
        <v>0</v>
      </c>
      <c r="M58" s="65">
        <f t="shared" si="1"/>
        <v>0</v>
      </c>
      <c r="N58" s="65">
        <f t="shared" si="1"/>
        <v>0</v>
      </c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aca="true" t="shared" si="2" ref="R58:AA58">SUM(R55:R57)*$E$228</f>
        <v>0</v>
      </c>
      <c r="S58" s="65">
        <f t="shared" si="2"/>
        <v>0</v>
      </c>
      <c r="T58" s="65">
        <f t="shared" si="2"/>
        <v>0</v>
      </c>
      <c r="U58" s="65">
        <f t="shared" si="2"/>
        <v>0</v>
      </c>
      <c r="V58" s="65">
        <f t="shared" si="2"/>
        <v>0</v>
      </c>
      <c r="W58" s="65">
        <f t="shared" si="2"/>
        <v>0</v>
      </c>
      <c r="X58" s="65">
        <f t="shared" si="2"/>
        <v>0</v>
      </c>
      <c r="Y58" s="65">
        <f t="shared" si="2"/>
        <v>0</v>
      </c>
      <c r="Z58" s="65">
        <f t="shared" si="2"/>
        <v>0</v>
      </c>
      <c r="AA58" s="65">
        <f t="shared" si="2"/>
        <v>0</v>
      </c>
      <c r="AB58" s="27"/>
      <c r="AC58" s="27"/>
      <c r="AD58" s="27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</row>
    <row r="59" spans="1:40" ht="12.75">
      <c r="A59" s="27"/>
      <c r="B59" s="74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</row>
    <row r="60" spans="1:40" ht="12.75">
      <c r="A60" s="27"/>
      <c r="B60" s="108"/>
      <c r="C60" s="27"/>
      <c r="D60" s="12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2.75">
      <c r="A61" s="27"/>
      <c r="B61" s="108"/>
      <c r="C61" s="27"/>
      <c r="D61" s="12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2.75">
      <c r="A62" s="27"/>
      <c r="B62" s="145"/>
      <c r="C62" s="146" t="s">
        <v>3</v>
      </c>
      <c r="D62" s="146" t="s">
        <v>4</v>
      </c>
      <c r="E62" s="146" t="s">
        <v>5</v>
      </c>
      <c r="F62" s="146" t="s">
        <v>6</v>
      </c>
      <c r="G62" s="146" t="s">
        <v>50</v>
      </c>
      <c r="H62" s="146" t="s">
        <v>110</v>
      </c>
      <c r="I62" s="146" t="s">
        <v>111</v>
      </c>
      <c r="J62" s="146" t="s">
        <v>112</v>
      </c>
      <c r="K62" s="146" t="s">
        <v>113</v>
      </c>
      <c r="L62" s="146" t="s">
        <v>114</v>
      </c>
      <c r="M62" s="146" t="s">
        <v>115</v>
      </c>
      <c r="N62" s="146" t="s">
        <v>116</v>
      </c>
      <c r="O62" s="146" t="s">
        <v>168</v>
      </c>
      <c r="P62" s="146" t="s">
        <v>169</v>
      </c>
      <c r="Q62" s="146" t="s">
        <v>170</v>
      </c>
      <c r="R62" s="146" t="s">
        <v>171</v>
      </c>
      <c r="S62" s="146" t="s">
        <v>172</v>
      </c>
      <c r="T62" s="146" t="s">
        <v>173</v>
      </c>
      <c r="U62" s="146" t="s">
        <v>174</v>
      </c>
      <c r="V62" s="146" t="s">
        <v>175</v>
      </c>
      <c r="W62" s="146" t="s">
        <v>176</v>
      </c>
      <c r="X62" s="146" t="s">
        <v>177</v>
      </c>
      <c r="Y62" s="146" t="s">
        <v>178</v>
      </c>
      <c r="Z62" s="146" t="s">
        <v>179</v>
      </c>
      <c r="AA62" s="146" t="s">
        <v>235</v>
      </c>
      <c r="AB62" s="27"/>
      <c r="AC62" s="27"/>
      <c r="AD62" s="27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</row>
    <row r="63" spans="1:40" ht="12.75">
      <c r="A63" s="27"/>
      <c r="B63" s="147" t="s">
        <v>182</v>
      </c>
      <c r="C63" s="72">
        <f>C64*C65</f>
        <v>0</v>
      </c>
      <c r="D63" s="72">
        <f>D64*D65</f>
        <v>2674.7999999999997</v>
      </c>
      <c r="E63" s="72">
        <f aca="true" t="shared" si="3" ref="E63:P63">E64*E65</f>
        <v>3566.4</v>
      </c>
      <c r="F63" s="72">
        <f t="shared" si="3"/>
        <v>3542.14848</v>
      </c>
      <c r="G63" s="72">
        <f t="shared" si="3"/>
        <v>3518.0618703359996</v>
      </c>
      <c r="H63" s="72">
        <f t="shared" si="3"/>
        <v>3494.139049617715</v>
      </c>
      <c r="I63" s="72">
        <f t="shared" si="3"/>
        <v>3470.378904080315</v>
      </c>
      <c r="J63" s="72">
        <f t="shared" si="3"/>
        <v>3446.7803275325687</v>
      </c>
      <c r="K63" s="72">
        <f t="shared" si="3"/>
        <v>3423.3422213053473</v>
      </c>
      <c r="L63" s="72">
        <f t="shared" si="3"/>
        <v>3400.0634942004713</v>
      </c>
      <c r="M63" s="72">
        <f t="shared" si="3"/>
        <v>3376.943062439908</v>
      </c>
      <c r="N63" s="72">
        <f t="shared" si="3"/>
        <v>3353.9798496153167</v>
      </c>
      <c r="O63" s="72">
        <f t="shared" si="3"/>
        <v>3331.172786637933</v>
      </c>
      <c r="P63" s="72">
        <f t="shared" si="3"/>
        <v>3308.5208116887948</v>
      </c>
      <c r="Q63" s="72">
        <f>Q64*Q65</f>
        <v>3286.0228701693113</v>
      </c>
      <c r="R63" s="72">
        <f aca="true" t="shared" si="4" ref="R63:Z63">R64*R65</f>
        <v>3263.67791465216</v>
      </c>
      <c r="S63" s="72">
        <f t="shared" si="4"/>
        <v>3241.4849048325254</v>
      </c>
      <c r="T63" s="72">
        <f t="shared" si="4"/>
        <v>3219.4428074796638</v>
      </c>
      <c r="U63" s="72">
        <f t="shared" si="4"/>
        <v>3197.550596388802</v>
      </c>
      <c r="V63" s="72">
        <f t="shared" si="4"/>
        <v>3175.8072523333585</v>
      </c>
      <c r="W63" s="72">
        <f t="shared" si="4"/>
        <v>3154.211763017491</v>
      </c>
      <c r="X63" s="72">
        <f t="shared" si="4"/>
        <v>3132.7631230289726</v>
      </c>
      <c r="Y63" s="72">
        <f t="shared" si="4"/>
        <v>3111.460333792376</v>
      </c>
      <c r="Z63" s="72">
        <f t="shared" si="4"/>
        <v>3090.302403522588</v>
      </c>
      <c r="AA63" s="72">
        <f>AA64*AA65</f>
        <v>3069.288347178634</v>
      </c>
      <c r="AB63" s="27"/>
      <c r="AC63" s="27"/>
      <c r="AD63" s="27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</row>
    <row r="64" spans="1:40" ht="12.75">
      <c r="A64" s="27"/>
      <c r="B64" s="148" t="s">
        <v>180</v>
      </c>
      <c r="C64" s="192">
        <v>0</v>
      </c>
      <c r="D64" s="190">
        <f>5944*9/12</f>
        <v>4458</v>
      </c>
      <c r="E64" s="190">
        <f>5944</f>
        <v>5944</v>
      </c>
      <c r="F64" s="190">
        <f>E64-E64*0.68%</f>
        <v>5903.5808</v>
      </c>
      <c r="G64" s="190">
        <f aca="true" t="shared" si="5" ref="G64:Q64">F64-F64*0.68%</f>
        <v>5863.43645056</v>
      </c>
      <c r="H64" s="190">
        <f t="shared" si="5"/>
        <v>5823.565082696192</v>
      </c>
      <c r="I64" s="190">
        <f t="shared" si="5"/>
        <v>5783.964840133858</v>
      </c>
      <c r="J64" s="190">
        <f t="shared" si="5"/>
        <v>5744.633879220948</v>
      </c>
      <c r="K64" s="190">
        <f t="shared" si="5"/>
        <v>5705.570368842245</v>
      </c>
      <c r="L64" s="190">
        <f t="shared" si="5"/>
        <v>5666.772490334119</v>
      </c>
      <c r="M64" s="190">
        <f t="shared" si="5"/>
        <v>5628.238437399847</v>
      </c>
      <c r="N64" s="190">
        <f t="shared" si="5"/>
        <v>5589.966416025528</v>
      </c>
      <c r="O64" s="190">
        <f t="shared" si="5"/>
        <v>5551.954644396555</v>
      </c>
      <c r="P64" s="190">
        <f t="shared" si="5"/>
        <v>5514.201352814658</v>
      </c>
      <c r="Q64" s="190">
        <f t="shared" si="5"/>
        <v>5476.704783615519</v>
      </c>
      <c r="R64" s="190">
        <f aca="true" t="shared" si="6" ref="R64:AA64">Q64-Q64*0.68%</f>
        <v>5439.463191086933</v>
      </c>
      <c r="S64" s="190">
        <f t="shared" si="6"/>
        <v>5402.474841387542</v>
      </c>
      <c r="T64" s="190">
        <f t="shared" si="6"/>
        <v>5365.738012466107</v>
      </c>
      <c r="U64" s="190">
        <f t="shared" si="6"/>
        <v>5329.250993981337</v>
      </c>
      <c r="V64" s="190">
        <f t="shared" si="6"/>
        <v>5293.012087222264</v>
      </c>
      <c r="W64" s="190">
        <f t="shared" si="6"/>
        <v>5257.019605029152</v>
      </c>
      <c r="X64" s="190">
        <f t="shared" si="6"/>
        <v>5221.271871714955</v>
      </c>
      <c r="Y64" s="190">
        <f t="shared" si="6"/>
        <v>5185.767222987293</v>
      </c>
      <c r="Z64" s="190">
        <f t="shared" si="6"/>
        <v>5150.50400587098</v>
      </c>
      <c r="AA64" s="190">
        <f t="shared" si="6"/>
        <v>5115.480578631057</v>
      </c>
      <c r="AB64" s="27"/>
      <c r="AC64" s="27"/>
      <c r="AD64" s="27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</row>
    <row r="65" spans="1:40" ht="12.75">
      <c r="A65" s="27"/>
      <c r="B65" s="149" t="s">
        <v>181</v>
      </c>
      <c r="C65" s="191">
        <v>0.6</v>
      </c>
      <c r="D65" s="191">
        <v>0.6</v>
      </c>
      <c r="E65" s="191">
        <v>0.6</v>
      </c>
      <c r="F65" s="191">
        <v>0.6</v>
      </c>
      <c r="G65" s="191">
        <v>0.6</v>
      </c>
      <c r="H65" s="191">
        <v>0.6</v>
      </c>
      <c r="I65" s="191">
        <v>0.6</v>
      </c>
      <c r="J65" s="191">
        <v>0.6</v>
      </c>
      <c r="K65" s="191">
        <v>0.6</v>
      </c>
      <c r="L65" s="191">
        <v>0.6</v>
      </c>
      <c r="M65" s="191">
        <v>0.6</v>
      </c>
      <c r="N65" s="191">
        <v>0.6</v>
      </c>
      <c r="O65" s="191">
        <v>0.6</v>
      </c>
      <c r="P65" s="191">
        <v>0.6</v>
      </c>
      <c r="Q65" s="191">
        <v>0.6</v>
      </c>
      <c r="R65" s="191">
        <v>0.6</v>
      </c>
      <c r="S65" s="191">
        <v>0.6</v>
      </c>
      <c r="T65" s="191">
        <v>0.6</v>
      </c>
      <c r="U65" s="191">
        <v>0.6</v>
      </c>
      <c r="V65" s="191">
        <v>0.6</v>
      </c>
      <c r="W65" s="191">
        <v>0.6</v>
      </c>
      <c r="X65" s="191">
        <v>0.6</v>
      </c>
      <c r="Y65" s="191">
        <v>0.6</v>
      </c>
      <c r="Z65" s="191">
        <v>0.6</v>
      </c>
      <c r="AA65" s="191">
        <v>0.6</v>
      </c>
      <c r="AB65" s="27"/>
      <c r="AC65" s="27"/>
      <c r="AD65" s="27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</row>
    <row r="66" spans="1:40" ht="12.75">
      <c r="A66" s="27"/>
      <c r="B66" s="108"/>
      <c r="C66" s="27"/>
      <c r="D66" s="12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</row>
    <row r="67" spans="1:40" ht="12.75">
      <c r="A67" s="27"/>
      <c r="B67" s="108"/>
      <c r="C67" s="27"/>
      <c r="D67" s="12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</row>
    <row r="68" spans="1:40" ht="12.75">
      <c r="A68" s="27"/>
      <c r="B68" s="108"/>
      <c r="C68" s="27"/>
      <c r="D68" s="12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</row>
    <row r="69" spans="1:40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</row>
    <row r="70" spans="1:40" ht="12.75">
      <c r="A70" s="27"/>
      <c r="B70" s="54" t="s">
        <v>10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</row>
    <row r="71" spans="1:40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</row>
    <row r="72" spans="1:40" ht="24.75" customHeight="1">
      <c r="A72" s="27"/>
      <c r="B72" s="195" t="s">
        <v>0</v>
      </c>
      <c r="C72" s="196" t="s">
        <v>2</v>
      </c>
      <c r="D72" s="196" t="s">
        <v>3</v>
      </c>
      <c r="E72" s="196" t="s">
        <v>4</v>
      </c>
      <c r="F72" s="196" t="s">
        <v>5</v>
      </c>
      <c r="G72" s="196" t="s">
        <v>6</v>
      </c>
      <c r="H72" s="196" t="s">
        <v>50</v>
      </c>
      <c r="I72" s="196" t="s">
        <v>110</v>
      </c>
      <c r="J72" s="196" t="s">
        <v>111</v>
      </c>
      <c r="K72" s="196" t="s">
        <v>112</v>
      </c>
      <c r="L72" s="196" t="s">
        <v>113</v>
      </c>
      <c r="M72" s="196" t="s">
        <v>114</v>
      </c>
      <c r="N72" s="196" t="s">
        <v>115</v>
      </c>
      <c r="O72" s="196" t="s">
        <v>116</v>
      </c>
      <c r="P72" s="196" t="s">
        <v>168</v>
      </c>
      <c r="Q72" s="196" t="s">
        <v>169</v>
      </c>
      <c r="R72" s="196" t="s">
        <v>170</v>
      </c>
      <c r="S72" s="196" t="s">
        <v>171</v>
      </c>
      <c r="T72" s="196" t="s">
        <v>172</v>
      </c>
      <c r="U72" s="196" t="s">
        <v>173</v>
      </c>
      <c r="V72" s="196" t="s">
        <v>174</v>
      </c>
      <c r="W72" s="196" t="s">
        <v>175</v>
      </c>
      <c r="X72" s="196" t="s">
        <v>176</v>
      </c>
      <c r="Y72" s="196" t="s">
        <v>177</v>
      </c>
      <c r="Z72" s="196" t="s">
        <v>178</v>
      </c>
      <c r="AA72" s="196" t="s">
        <v>179</v>
      </c>
      <c r="AB72" s="27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</row>
    <row r="73" spans="1:40" ht="12.75">
      <c r="A73" s="27"/>
      <c r="B73" s="197" t="s">
        <v>138</v>
      </c>
      <c r="C73" s="198">
        <v>0</v>
      </c>
      <c r="D73" s="198">
        <v>0</v>
      </c>
      <c r="E73" s="198">
        <f>$C$105+$C$106</f>
        <v>720</v>
      </c>
      <c r="F73" s="198">
        <f aca="true" t="shared" si="7" ref="F73:AA73">$C$105+$C$106</f>
        <v>720</v>
      </c>
      <c r="G73" s="198">
        <f t="shared" si="7"/>
        <v>720</v>
      </c>
      <c r="H73" s="198">
        <f t="shared" si="7"/>
        <v>720</v>
      </c>
      <c r="I73" s="198">
        <f t="shared" si="7"/>
        <v>720</v>
      </c>
      <c r="J73" s="198">
        <f t="shared" si="7"/>
        <v>720</v>
      </c>
      <c r="K73" s="198">
        <f t="shared" si="7"/>
        <v>720</v>
      </c>
      <c r="L73" s="198">
        <f t="shared" si="7"/>
        <v>720</v>
      </c>
      <c r="M73" s="198">
        <f t="shared" si="7"/>
        <v>720</v>
      </c>
      <c r="N73" s="198">
        <f t="shared" si="7"/>
        <v>720</v>
      </c>
      <c r="O73" s="198">
        <f t="shared" si="7"/>
        <v>720</v>
      </c>
      <c r="P73" s="198">
        <f t="shared" si="7"/>
        <v>720</v>
      </c>
      <c r="Q73" s="198">
        <f t="shared" si="7"/>
        <v>720</v>
      </c>
      <c r="R73" s="198">
        <f t="shared" si="7"/>
        <v>720</v>
      </c>
      <c r="S73" s="198">
        <f t="shared" si="7"/>
        <v>720</v>
      </c>
      <c r="T73" s="198">
        <f t="shared" si="7"/>
        <v>720</v>
      </c>
      <c r="U73" s="198">
        <f t="shared" si="7"/>
        <v>720</v>
      </c>
      <c r="V73" s="198">
        <f t="shared" si="7"/>
        <v>720</v>
      </c>
      <c r="W73" s="198">
        <f t="shared" si="7"/>
        <v>720</v>
      </c>
      <c r="X73" s="198">
        <f t="shared" si="7"/>
        <v>720</v>
      </c>
      <c r="Y73" s="198">
        <f t="shared" si="7"/>
        <v>720</v>
      </c>
      <c r="Z73" s="198">
        <f t="shared" si="7"/>
        <v>720</v>
      </c>
      <c r="AA73" s="198">
        <f t="shared" si="7"/>
        <v>720</v>
      </c>
      <c r="AB73" s="27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</row>
    <row r="74" spans="1:40" ht="12.75">
      <c r="A74" s="27"/>
      <c r="B74" s="197" t="s">
        <v>139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f>$C$107*9/12</f>
        <v>360</v>
      </c>
      <c r="J74" s="198">
        <f>$C$107</f>
        <v>480</v>
      </c>
      <c r="K74" s="198">
        <f aca="true" t="shared" si="8" ref="K74:AA74">$C$107</f>
        <v>480</v>
      </c>
      <c r="L74" s="198">
        <f t="shared" si="8"/>
        <v>480</v>
      </c>
      <c r="M74" s="198">
        <f t="shared" si="8"/>
        <v>480</v>
      </c>
      <c r="N74" s="198">
        <f t="shared" si="8"/>
        <v>480</v>
      </c>
      <c r="O74" s="198">
        <f t="shared" si="8"/>
        <v>480</v>
      </c>
      <c r="P74" s="198">
        <f t="shared" si="8"/>
        <v>480</v>
      </c>
      <c r="Q74" s="198">
        <f t="shared" si="8"/>
        <v>480</v>
      </c>
      <c r="R74" s="198">
        <f t="shared" si="8"/>
        <v>480</v>
      </c>
      <c r="S74" s="198">
        <f t="shared" si="8"/>
        <v>480</v>
      </c>
      <c r="T74" s="198">
        <f t="shared" si="8"/>
        <v>480</v>
      </c>
      <c r="U74" s="198">
        <f t="shared" si="8"/>
        <v>480</v>
      </c>
      <c r="V74" s="198">
        <f t="shared" si="8"/>
        <v>480</v>
      </c>
      <c r="W74" s="198">
        <f t="shared" si="8"/>
        <v>480</v>
      </c>
      <c r="X74" s="198">
        <f t="shared" si="8"/>
        <v>480</v>
      </c>
      <c r="Y74" s="198">
        <f t="shared" si="8"/>
        <v>480</v>
      </c>
      <c r="Z74" s="198">
        <f t="shared" si="8"/>
        <v>480</v>
      </c>
      <c r="AA74" s="198">
        <f t="shared" si="8"/>
        <v>480</v>
      </c>
      <c r="AB74" s="27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</row>
    <row r="75" spans="1:40" ht="12.75">
      <c r="A75" s="27"/>
      <c r="B75" s="197" t="s">
        <v>152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0</v>
      </c>
      <c r="AA75" s="198">
        <v>0</v>
      </c>
      <c r="AB75" s="27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</row>
    <row r="76" spans="1:40" ht="12.75">
      <c r="A76" s="27"/>
      <c r="B76" s="197" t="s">
        <v>153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8">
        <v>0</v>
      </c>
      <c r="Y76" s="198">
        <v>0</v>
      </c>
      <c r="Z76" s="198">
        <v>0</v>
      </c>
      <c r="AA76" s="198">
        <v>0</v>
      </c>
      <c r="AB76" s="27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</row>
    <row r="77" spans="1:40" ht="12.75">
      <c r="A77" s="27"/>
      <c r="B77" s="197" t="s">
        <v>11</v>
      </c>
      <c r="C77" s="198">
        <v>0</v>
      </c>
      <c r="D77" s="198">
        <f>C108*9/12</f>
        <v>600</v>
      </c>
      <c r="E77" s="198">
        <f>$C$108</f>
        <v>800</v>
      </c>
      <c r="F77" s="198">
        <f aca="true" t="shared" si="9" ref="F77:AA77">$C$108</f>
        <v>800</v>
      </c>
      <c r="G77" s="198">
        <f t="shared" si="9"/>
        <v>800</v>
      </c>
      <c r="H77" s="198">
        <f t="shared" si="9"/>
        <v>800</v>
      </c>
      <c r="I77" s="198">
        <f t="shared" si="9"/>
        <v>800</v>
      </c>
      <c r="J77" s="198">
        <f t="shared" si="9"/>
        <v>800</v>
      </c>
      <c r="K77" s="198">
        <f t="shared" si="9"/>
        <v>800</v>
      </c>
      <c r="L77" s="198">
        <f t="shared" si="9"/>
        <v>800</v>
      </c>
      <c r="M77" s="198">
        <f t="shared" si="9"/>
        <v>800</v>
      </c>
      <c r="N77" s="198">
        <f t="shared" si="9"/>
        <v>800</v>
      </c>
      <c r="O77" s="198">
        <f t="shared" si="9"/>
        <v>800</v>
      </c>
      <c r="P77" s="198">
        <f t="shared" si="9"/>
        <v>800</v>
      </c>
      <c r="Q77" s="198">
        <f t="shared" si="9"/>
        <v>800</v>
      </c>
      <c r="R77" s="198">
        <f t="shared" si="9"/>
        <v>800</v>
      </c>
      <c r="S77" s="198">
        <f t="shared" si="9"/>
        <v>800</v>
      </c>
      <c r="T77" s="198">
        <f t="shared" si="9"/>
        <v>800</v>
      </c>
      <c r="U77" s="198">
        <f t="shared" si="9"/>
        <v>800</v>
      </c>
      <c r="V77" s="198">
        <f t="shared" si="9"/>
        <v>800</v>
      </c>
      <c r="W77" s="198">
        <f t="shared" si="9"/>
        <v>800</v>
      </c>
      <c r="X77" s="198">
        <f t="shared" si="9"/>
        <v>800</v>
      </c>
      <c r="Y77" s="198">
        <f t="shared" si="9"/>
        <v>800</v>
      </c>
      <c r="Z77" s="198">
        <f t="shared" si="9"/>
        <v>800</v>
      </c>
      <c r="AA77" s="198">
        <f t="shared" si="9"/>
        <v>800</v>
      </c>
      <c r="AB77" s="27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</row>
    <row r="78" spans="1:40" ht="12.75">
      <c r="A78" s="27"/>
      <c r="B78" s="195" t="s">
        <v>12</v>
      </c>
      <c r="C78" s="199">
        <f aca="true" t="shared" si="10" ref="C78:O78">SUM(C73:C77)*$E$227</f>
        <v>0</v>
      </c>
      <c r="D78" s="199">
        <f t="shared" si="10"/>
        <v>600</v>
      </c>
      <c r="E78" s="199">
        <f t="shared" si="10"/>
        <v>1520</v>
      </c>
      <c r="F78" s="199">
        <f t="shared" si="10"/>
        <v>1520</v>
      </c>
      <c r="G78" s="199">
        <f t="shared" si="10"/>
        <v>1520</v>
      </c>
      <c r="H78" s="199">
        <f t="shared" si="10"/>
        <v>1520</v>
      </c>
      <c r="I78" s="199">
        <f t="shared" si="10"/>
        <v>1880</v>
      </c>
      <c r="J78" s="199">
        <f t="shared" si="10"/>
        <v>2000</v>
      </c>
      <c r="K78" s="199">
        <f t="shared" si="10"/>
        <v>2000</v>
      </c>
      <c r="L78" s="199">
        <f t="shared" si="10"/>
        <v>2000</v>
      </c>
      <c r="M78" s="199">
        <f t="shared" si="10"/>
        <v>2000</v>
      </c>
      <c r="N78" s="199">
        <f t="shared" si="10"/>
        <v>2000</v>
      </c>
      <c r="O78" s="199">
        <f t="shared" si="10"/>
        <v>2000</v>
      </c>
      <c r="P78" s="199">
        <f aca="true" t="shared" si="11" ref="P78:AA78">SUM(P73:P77)*$E$227</f>
        <v>2000</v>
      </c>
      <c r="Q78" s="199">
        <f t="shared" si="11"/>
        <v>2000</v>
      </c>
      <c r="R78" s="199">
        <f t="shared" si="11"/>
        <v>2000</v>
      </c>
      <c r="S78" s="199">
        <f t="shared" si="11"/>
        <v>2000</v>
      </c>
      <c r="T78" s="199">
        <f t="shared" si="11"/>
        <v>2000</v>
      </c>
      <c r="U78" s="199">
        <f t="shared" si="11"/>
        <v>2000</v>
      </c>
      <c r="V78" s="199">
        <f t="shared" si="11"/>
        <v>2000</v>
      </c>
      <c r="W78" s="199">
        <f t="shared" si="11"/>
        <v>2000</v>
      </c>
      <c r="X78" s="199">
        <f t="shared" si="11"/>
        <v>2000</v>
      </c>
      <c r="Y78" s="199">
        <f t="shared" si="11"/>
        <v>2000</v>
      </c>
      <c r="Z78" s="199">
        <f t="shared" si="11"/>
        <v>2000</v>
      </c>
      <c r="AA78" s="199">
        <f t="shared" si="11"/>
        <v>2000</v>
      </c>
      <c r="AB78" s="27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</row>
    <row r="79" spans="1:40" ht="12.75">
      <c r="A79" s="27"/>
      <c r="B79" s="197" t="s">
        <v>13</v>
      </c>
      <c r="C79" s="198">
        <f>D99</f>
        <v>0</v>
      </c>
      <c r="D79" s="198">
        <f aca="true" t="shared" si="12" ref="D79:AA79">E99</f>
        <v>812.6294062142357</v>
      </c>
      <c r="E79" s="198">
        <f t="shared" si="12"/>
        <v>76512.23986473851</v>
      </c>
      <c r="F79" s="198">
        <f t="shared" si="12"/>
        <v>76512.23986473851</v>
      </c>
      <c r="G79" s="198">
        <f t="shared" si="12"/>
        <v>76512.23986473851</v>
      </c>
      <c r="H79" s="198">
        <f t="shared" si="12"/>
        <v>76512.23986473851</v>
      </c>
      <c r="I79" s="198">
        <f t="shared" si="12"/>
        <v>76512.23986473851</v>
      </c>
      <c r="J79" s="198">
        <f t="shared" si="12"/>
        <v>3355.897205832078</v>
      </c>
      <c r="K79" s="198">
        <f t="shared" si="12"/>
        <v>3355.897205832078</v>
      </c>
      <c r="L79" s="198">
        <f t="shared" si="12"/>
        <v>3355.897205832078</v>
      </c>
      <c r="M79" s="198">
        <f t="shared" si="12"/>
        <v>3355.897205832078</v>
      </c>
      <c r="N79" s="198">
        <f t="shared" si="12"/>
        <v>3355.897205832078</v>
      </c>
      <c r="O79" s="198">
        <f t="shared" si="12"/>
        <v>3355.897205832078</v>
      </c>
      <c r="P79" s="198">
        <f t="shared" si="12"/>
        <v>3085.0207370939993</v>
      </c>
      <c r="Q79" s="198">
        <f t="shared" si="12"/>
        <v>2272.3913308797637</v>
      </c>
      <c r="R79" s="198">
        <f t="shared" si="12"/>
        <v>2272.3913308797637</v>
      </c>
      <c r="S79" s="198">
        <f t="shared" si="12"/>
        <v>2272.3913308797637</v>
      </c>
      <c r="T79" s="198">
        <f t="shared" si="12"/>
        <v>2272.3913308797637</v>
      </c>
      <c r="U79" s="198">
        <f t="shared" si="12"/>
        <v>2272.3913308797637</v>
      </c>
      <c r="V79" s="198">
        <f t="shared" si="12"/>
        <v>2272.3913308797637</v>
      </c>
      <c r="W79" s="198">
        <f t="shared" si="12"/>
        <v>2272.3913308797637</v>
      </c>
      <c r="X79" s="198">
        <f t="shared" si="12"/>
        <v>2272.3913308797637</v>
      </c>
      <c r="Y79" s="198">
        <f t="shared" si="12"/>
        <v>2272.3913308797637</v>
      </c>
      <c r="Z79" s="198">
        <f t="shared" si="12"/>
        <v>2272.3913308797637</v>
      </c>
      <c r="AA79" s="198">
        <f t="shared" si="12"/>
        <v>235.00605855983204</v>
      </c>
      <c r="AB79" s="27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</row>
    <row r="80" spans="1:40" ht="12.75">
      <c r="A80" s="27"/>
      <c r="B80" s="195" t="s">
        <v>51</v>
      </c>
      <c r="C80" s="199">
        <f>C79+C78</f>
        <v>0</v>
      </c>
      <c r="D80" s="199">
        <f aca="true" t="shared" si="13" ref="D80:O80">D79+D78</f>
        <v>1412.6294062142356</v>
      </c>
      <c r="E80" s="199">
        <f t="shared" si="13"/>
        <v>78032.23986473851</v>
      </c>
      <c r="F80" s="199">
        <f t="shared" si="13"/>
        <v>78032.23986473851</v>
      </c>
      <c r="G80" s="199">
        <f t="shared" si="13"/>
        <v>78032.23986473851</v>
      </c>
      <c r="H80" s="199">
        <f t="shared" si="13"/>
        <v>78032.23986473851</v>
      </c>
      <c r="I80" s="199">
        <f t="shared" si="13"/>
        <v>78392.23986473851</v>
      </c>
      <c r="J80" s="199">
        <f t="shared" si="13"/>
        <v>5355.897205832078</v>
      </c>
      <c r="K80" s="199">
        <f t="shared" si="13"/>
        <v>5355.897205832078</v>
      </c>
      <c r="L80" s="199">
        <f t="shared" si="13"/>
        <v>5355.897205832078</v>
      </c>
      <c r="M80" s="199">
        <f t="shared" si="13"/>
        <v>5355.897205832078</v>
      </c>
      <c r="N80" s="199">
        <f t="shared" si="13"/>
        <v>5355.897205832078</v>
      </c>
      <c r="O80" s="199">
        <f t="shared" si="13"/>
        <v>5355.897205832078</v>
      </c>
      <c r="P80" s="199">
        <f aca="true" t="shared" si="14" ref="P80:AA80">P79+P78</f>
        <v>5085.020737093999</v>
      </c>
      <c r="Q80" s="199">
        <f t="shared" si="14"/>
        <v>4272.391330879764</v>
      </c>
      <c r="R80" s="199">
        <f t="shared" si="14"/>
        <v>4272.391330879764</v>
      </c>
      <c r="S80" s="199">
        <f t="shared" si="14"/>
        <v>4272.391330879764</v>
      </c>
      <c r="T80" s="199">
        <f t="shared" si="14"/>
        <v>4272.391330879764</v>
      </c>
      <c r="U80" s="199">
        <f t="shared" si="14"/>
        <v>4272.391330879764</v>
      </c>
      <c r="V80" s="199">
        <f t="shared" si="14"/>
        <v>4272.391330879764</v>
      </c>
      <c r="W80" s="199">
        <f t="shared" si="14"/>
        <v>4272.391330879764</v>
      </c>
      <c r="X80" s="199">
        <f t="shared" si="14"/>
        <v>4272.391330879764</v>
      </c>
      <c r="Y80" s="199">
        <f t="shared" si="14"/>
        <v>4272.391330879764</v>
      </c>
      <c r="Z80" s="199">
        <f t="shared" si="14"/>
        <v>4272.391330879764</v>
      </c>
      <c r="AA80" s="199">
        <f t="shared" si="14"/>
        <v>2235.006058559832</v>
      </c>
      <c r="AB80" s="27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</row>
    <row r="81" spans="1:40" ht="12.75">
      <c r="A81" s="27"/>
      <c r="B81" s="27"/>
      <c r="C81" s="27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</row>
    <row r="82" spans="1:40" ht="12.75">
      <c r="A82" s="27"/>
      <c r="B82" s="27"/>
      <c r="C82" s="27"/>
      <c r="D82" s="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</row>
    <row r="83" spans="1:40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</row>
    <row r="84" spans="1:40" ht="12.75">
      <c r="A84" s="27"/>
      <c r="B84" s="54" t="s">
        <v>14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</row>
    <row r="85" spans="1:40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</row>
    <row r="86" spans="1:40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</row>
    <row r="87" spans="1:40" ht="24.75" customHeight="1">
      <c r="A87" s="27"/>
      <c r="B87" s="123" t="s">
        <v>0</v>
      </c>
      <c r="C87" s="69" t="s">
        <v>107</v>
      </c>
      <c r="D87" s="62" t="s">
        <v>3</v>
      </c>
      <c r="E87" s="62" t="s">
        <v>4</v>
      </c>
      <c r="F87" s="62" t="s">
        <v>5</v>
      </c>
      <c r="G87" s="62" t="s">
        <v>6</v>
      </c>
      <c r="H87" s="62" t="s">
        <v>50</v>
      </c>
      <c r="I87" s="62" t="s">
        <v>110</v>
      </c>
      <c r="J87" s="62" t="s">
        <v>111</v>
      </c>
      <c r="K87" s="62" t="s">
        <v>112</v>
      </c>
      <c r="L87" s="62" t="s">
        <v>113</v>
      </c>
      <c r="M87" s="62" t="s">
        <v>114</v>
      </c>
      <c r="N87" s="62" t="s">
        <v>115</v>
      </c>
      <c r="O87" s="62" t="s">
        <v>116</v>
      </c>
      <c r="P87" s="62" t="s">
        <v>168</v>
      </c>
      <c r="Q87" s="62" t="s">
        <v>169</v>
      </c>
      <c r="R87" s="62" t="s">
        <v>170</v>
      </c>
      <c r="S87" s="62" t="s">
        <v>171</v>
      </c>
      <c r="T87" s="62" t="s">
        <v>172</v>
      </c>
      <c r="U87" s="62" t="s">
        <v>173</v>
      </c>
      <c r="V87" s="62" t="s">
        <v>174</v>
      </c>
      <c r="W87" s="62" t="s">
        <v>175</v>
      </c>
      <c r="X87" s="62" t="s">
        <v>176</v>
      </c>
      <c r="Y87" s="62" t="s">
        <v>177</v>
      </c>
      <c r="Z87" s="62" t="s">
        <v>178</v>
      </c>
      <c r="AA87" s="62" t="s">
        <v>179</v>
      </c>
      <c r="AB87" s="62" t="s">
        <v>235</v>
      </c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</row>
    <row r="88" spans="1:40" ht="12.75">
      <c r="A88" s="27"/>
      <c r="B88" s="81" t="s">
        <v>202</v>
      </c>
      <c r="C88" s="21">
        <f>F3</f>
        <v>122351.42000000001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</row>
    <row r="89" spans="1:40" ht="12.75">
      <c r="A89" s="27"/>
      <c r="B89" s="81" t="s">
        <v>123</v>
      </c>
      <c r="C89" s="161">
        <v>0.045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</row>
    <row r="90" spans="1:40" ht="12.75">
      <c r="A90" s="27"/>
      <c r="B90" s="162" t="s">
        <v>15</v>
      </c>
      <c r="C90" s="163" t="s">
        <v>16</v>
      </c>
      <c r="D90" s="164">
        <v>0</v>
      </c>
      <c r="E90" s="164">
        <v>0</v>
      </c>
      <c r="F90" s="164">
        <f>$C$88*$C$89</f>
        <v>5505.8139</v>
      </c>
      <c r="G90" s="164">
        <f aca="true" t="shared" si="15" ref="G90:AA90">$C$88*$C$89</f>
        <v>5505.8139</v>
      </c>
      <c r="H90" s="164">
        <f t="shared" si="15"/>
        <v>5505.8139</v>
      </c>
      <c r="I90" s="164">
        <f t="shared" si="15"/>
        <v>5505.8139</v>
      </c>
      <c r="J90" s="164">
        <f t="shared" si="15"/>
        <v>5505.8139</v>
      </c>
      <c r="K90" s="164">
        <f t="shared" si="15"/>
        <v>5505.8139</v>
      </c>
      <c r="L90" s="164">
        <f t="shared" si="15"/>
        <v>5505.8139</v>
      </c>
      <c r="M90" s="164">
        <f t="shared" si="15"/>
        <v>5505.8139</v>
      </c>
      <c r="N90" s="164">
        <f t="shared" si="15"/>
        <v>5505.8139</v>
      </c>
      <c r="O90" s="164">
        <f t="shared" si="15"/>
        <v>5505.8139</v>
      </c>
      <c r="P90" s="164">
        <f t="shared" si="15"/>
        <v>5505.8139</v>
      </c>
      <c r="Q90" s="164">
        <f t="shared" si="15"/>
        <v>5505.8139</v>
      </c>
      <c r="R90" s="164">
        <f t="shared" si="15"/>
        <v>5505.8139</v>
      </c>
      <c r="S90" s="164">
        <f t="shared" si="15"/>
        <v>5505.8139</v>
      </c>
      <c r="T90" s="164">
        <f t="shared" si="15"/>
        <v>5505.8139</v>
      </c>
      <c r="U90" s="164">
        <f t="shared" si="15"/>
        <v>5505.8139</v>
      </c>
      <c r="V90" s="164">
        <f t="shared" si="15"/>
        <v>5505.8139</v>
      </c>
      <c r="W90" s="164">
        <f t="shared" si="15"/>
        <v>5505.8139</v>
      </c>
      <c r="X90" s="164">
        <f t="shared" si="15"/>
        <v>5505.8139</v>
      </c>
      <c r="Y90" s="164">
        <f t="shared" si="15"/>
        <v>5505.8139</v>
      </c>
      <c r="Z90" s="164">
        <f t="shared" si="15"/>
        <v>5505.8139</v>
      </c>
      <c r="AA90" s="164">
        <f t="shared" si="15"/>
        <v>5505.8139</v>
      </c>
      <c r="AB90" s="164">
        <v>569.4</v>
      </c>
      <c r="AC90" s="165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</row>
    <row r="91" spans="1:40" ht="12.75">
      <c r="A91" s="27"/>
      <c r="B91" s="166" t="s">
        <v>203</v>
      </c>
      <c r="C91" s="167">
        <f>F4</f>
        <v>32815.55</v>
      </c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5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</row>
    <row r="92" spans="1:40" ht="12.75">
      <c r="A92" s="27"/>
      <c r="B92" s="63" t="s">
        <v>123</v>
      </c>
      <c r="C92" s="169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</row>
    <row r="93" spans="1:40" ht="12.75">
      <c r="A93" s="27"/>
      <c r="B93" s="170" t="s">
        <v>15</v>
      </c>
      <c r="C93" s="171">
        <v>0.08</v>
      </c>
      <c r="D93" s="164">
        <v>0</v>
      </c>
      <c r="E93" s="164">
        <f>C91*C93*9/12</f>
        <v>1968.933</v>
      </c>
      <c r="F93" s="164">
        <f>$C$91*$C$93</f>
        <v>2625.244</v>
      </c>
      <c r="G93" s="164">
        <f aca="true" t="shared" si="16" ref="G93:P93">$C$91*$C$93</f>
        <v>2625.244</v>
      </c>
      <c r="H93" s="164">
        <f t="shared" si="16"/>
        <v>2625.244</v>
      </c>
      <c r="I93" s="164">
        <f t="shared" si="16"/>
        <v>2625.244</v>
      </c>
      <c r="J93" s="164">
        <f t="shared" si="16"/>
        <v>2625.244</v>
      </c>
      <c r="K93" s="164">
        <f t="shared" si="16"/>
        <v>2625.244</v>
      </c>
      <c r="L93" s="164">
        <f t="shared" si="16"/>
        <v>2625.244</v>
      </c>
      <c r="M93" s="164">
        <f t="shared" si="16"/>
        <v>2625.244</v>
      </c>
      <c r="N93" s="164">
        <f t="shared" si="16"/>
        <v>2625.244</v>
      </c>
      <c r="O93" s="164">
        <f t="shared" si="16"/>
        <v>2625.244</v>
      </c>
      <c r="P93" s="164">
        <f t="shared" si="16"/>
        <v>2625.244</v>
      </c>
      <c r="Q93" s="164">
        <f>$C$91*$C$93*9/12</f>
        <v>1968.933</v>
      </c>
      <c r="R93" s="164">
        <v>0</v>
      </c>
      <c r="S93" s="164">
        <v>0</v>
      </c>
      <c r="T93" s="164">
        <v>0</v>
      </c>
      <c r="U93" s="164">
        <v>0</v>
      </c>
      <c r="V93" s="164">
        <v>0</v>
      </c>
      <c r="W93" s="164">
        <v>0</v>
      </c>
      <c r="X93" s="164">
        <v>0</v>
      </c>
      <c r="Y93" s="164">
        <v>0</v>
      </c>
      <c r="Z93" s="164">
        <v>0</v>
      </c>
      <c r="AA93" s="164">
        <v>0</v>
      </c>
      <c r="AB93" s="164">
        <v>0</v>
      </c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</row>
    <row r="94" spans="1:40" ht="12.75">
      <c r="A94" s="27"/>
      <c r="B94" s="172" t="s">
        <v>204</v>
      </c>
      <c r="C94" s="18">
        <f>F5+F6</f>
        <v>886258.46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</row>
    <row r="95" spans="1:40" ht="12.75">
      <c r="A95" s="27"/>
      <c r="B95" s="63" t="s">
        <v>123</v>
      </c>
      <c r="C95" s="173">
        <v>0.2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</row>
    <row r="96" spans="1:40" ht="12.75">
      <c r="A96" s="27"/>
      <c r="B96" s="170" t="s">
        <v>15</v>
      </c>
      <c r="C96" s="169" t="s">
        <v>16</v>
      </c>
      <c r="D96" s="19">
        <v>0</v>
      </c>
      <c r="E96" s="19">
        <v>0</v>
      </c>
      <c r="F96" s="19">
        <f>$C$94*$C$95</f>
        <v>177251.692</v>
      </c>
      <c r="G96" s="19">
        <f>$C$94*$C$95</f>
        <v>177251.692</v>
      </c>
      <c r="H96" s="19">
        <f>$C$94*$C$95</f>
        <v>177251.692</v>
      </c>
      <c r="I96" s="19">
        <f>$C$94*$C$95</f>
        <v>177251.692</v>
      </c>
      <c r="J96" s="19">
        <f>$C$94*$C$95</f>
        <v>177251.692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</row>
    <row r="97" spans="1:40" ht="12.75">
      <c r="A97" s="27"/>
      <c r="B97" s="174" t="s">
        <v>56</v>
      </c>
      <c r="C97" s="175" t="s">
        <v>16</v>
      </c>
      <c r="D97" s="65">
        <f>D96+D93+D90</f>
        <v>0</v>
      </c>
      <c r="E97" s="65">
        <f aca="true" t="shared" si="17" ref="E97:AB97">E96+E93+E90</f>
        <v>1968.933</v>
      </c>
      <c r="F97" s="65">
        <f t="shared" si="17"/>
        <v>185382.74990000002</v>
      </c>
      <c r="G97" s="65">
        <f t="shared" si="17"/>
        <v>185382.74990000002</v>
      </c>
      <c r="H97" s="65">
        <f t="shared" si="17"/>
        <v>185382.74990000002</v>
      </c>
      <c r="I97" s="65">
        <f t="shared" si="17"/>
        <v>185382.74990000002</v>
      </c>
      <c r="J97" s="65">
        <f t="shared" si="17"/>
        <v>185382.74990000002</v>
      </c>
      <c r="K97" s="65">
        <f t="shared" si="17"/>
        <v>8131.0579</v>
      </c>
      <c r="L97" s="65">
        <f t="shared" si="17"/>
        <v>8131.0579</v>
      </c>
      <c r="M97" s="65">
        <f t="shared" si="17"/>
        <v>8131.0579</v>
      </c>
      <c r="N97" s="65">
        <f t="shared" si="17"/>
        <v>8131.0579</v>
      </c>
      <c r="O97" s="65">
        <f t="shared" si="17"/>
        <v>8131.0579</v>
      </c>
      <c r="P97" s="65">
        <f t="shared" si="17"/>
        <v>8131.0579</v>
      </c>
      <c r="Q97" s="65">
        <f t="shared" si="17"/>
        <v>7474.7469</v>
      </c>
      <c r="R97" s="65">
        <f t="shared" si="17"/>
        <v>5505.8139</v>
      </c>
      <c r="S97" s="65">
        <f t="shared" si="17"/>
        <v>5505.8139</v>
      </c>
      <c r="T97" s="65">
        <f t="shared" si="17"/>
        <v>5505.8139</v>
      </c>
      <c r="U97" s="65">
        <f t="shared" si="17"/>
        <v>5505.8139</v>
      </c>
      <c r="V97" s="65">
        <f t="shared" si="17"/>
        <v>5505.8139</v>
      </c>
      <c r="W97" s="65">
        <f t="shared" si="17"/>
        <v>5505.8139</v>
      </c>
      <c r="X97" s="65">
        <f t="shared" si="17"/>
        <v>5505.8139</v>
      </c>
      <c r="Y97" s="65">
        <f t="shared" si="17"/>
        <v>5505.8139</v>
      </c>
      <c r="Z97" s="65">
        <f t="shared" si="17"/>
        <v>5505.8139</v>
      </c>
      <c r="AA97" s="65">
        <f t="shared" si="17"/>
        <v>5505.8139</v>
      </c>
      <c r="AB97" s="65">
        <f t="shared" si="17"/>
        <v>569.4</v>
      </c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</row>
    <row r="98" spans="1:40" ht="12.75">
      <c r="A98" s="27"/>
      <c r="B98" s="176" t="s">
        <v>106</v>
      </c>
      <c r="C98" s="177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</row>
    <row r="99" spans="1:40" ht="12.75">
      <c r="A99" s="27"/>
      <c r="B99" s="178" t="s">
        <v>122</v>
      </c>
      <c r="C99" s="179" t="s">
        <v>16</v>
      </c>
      <c r="D99" s="125">
        <f aca="true" t="shared" si="18" ref="D99:P99">D97*$G$26</f>
        <v>0</v>
      </c>
      <c r="E99" s="125">
        <f t="shared" si="18"/>
        <v>812.6294062142357</v>
      </c>
      <c r="F99" s="125">
        <f t="shared" si="18"/>
        <v>76512.23986473851</v>
      </c>
      <c r="G99" s="125">
        <f t="shared" si="18"/>
        <v>76512.23986473851</v>
      </c>
      <c r="H99" s="125">
        <f t="shared" si="18"/>
        <v>76512.23986473851</v>
      </c>
      <c r="I99" s="125">
        <f t="shared" si="18"/>
        <v>76512.23986473851</v>
      </c>
      <c r="J99" s="125">
        <f t="shared" si="18"/>
        <v>76512.23986473851</v>
      </c>
      <c r="K99" s="125">
        <f t="shared" si="18"/>
        <v>3355.897205832078</v>
      </c>
      <c r="L99" s="125">
        <f t="shared" si="18"/>
        <v>3355.897205832078</v>
      </c>
      <c r="M99" s="125">
        <f t="shared" si="18"/>
        <v>3355.897205832078</v>
      </c>
      <c r="N99" s="125">
        <f t="shared" si="18"/>
        <v>3355.897205832078</v>
      </c>
      <c r="O99" s="125">
        <f t="shared" si="18"/>
        <v>3355.897205832078</v>
      </c>
      <c r="P99" s="125">
        <f t="shared" si="18"/>
        <v>3355.897205832078</v>
      </c>
      <c r="Q99" s="125">
        <f aca="true" t="shared" si="19" ref="Q99:AB99">Q97*$G$26</f>
        <v>3085.0207370939993</v>
      </c>
      <c r="R99" s="125">
        <f t="shared" si="19"/>
        <v>2272.3913308797637</v>
      </c>
      <c r="S99" s="125">
        <f t="shared" si="19"/>
        <v>2272.3913308797637</v>
      </c>
      <c r="T99" s="125">
        <f t="shared" si="19"/>
        <v>2272.3913308797637</v>
      </c>
      <c r="U99" s="125">
        <f t="shared" si="19"/>
        <v>2272.3913308797637</v>
      </c>
      <c r="V99" s="125">
        <f t="shared" si="19"/>
        <v>2272.3913308797637</v>
      </c>
      <c r="W99" s="125">
        <f t="shared" si="19"/>
        <v>2272.3913308797637</v>
      </c>
      <c r="X99" s="125">
        <f t="shared" si="19"/>
        <v>2272.3913308797637</v>
      </c>
      <c r="Y99" s="125">
        <f t="shared" si="19"/>
        <v>2272.3913308797637</v>
      </c>
      <c r="Z99" s="125">
        <f t="shared" si="19"/>
        <v>2272.3913308797637</v>
      </c>
      <c r="AA99" s="125">
        <f t="shared" si="19"/>
        <v>2272.3913308797637</v>
      </c>
      <c r="AB99" s="125">
        <f t="shared" si="19"/>
        <v>235.00605855983204</v>
      </c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</row>
    <row r="100" spans="1:40" ht="12.75">
      <c r="A100" s="27"/>
      <c r="B100" s="126"/>
      <c r="C100" s="1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</row>
    <row r="101" spans="1:40" ht="12.75">
      <c r="A101" s="27"/>
      <c r="B101" s="73"/>
      <c r="C101" s="74"/>
      <c r="D101" s="74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54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</row>
    <row r="102" spans="1:40" ht="12.75">
      <c r="A102" s="27"/>
      <c r="B102" s="27"/>
      <c r="C102" s="27"/>
      <c r="D102" s="27"/>
      <c r="E102" s="9"/>
      <c r="F102" s="27"/>
      <c r="G102" s="27"/>
      <c r="H102" s="27"/>
      <c r="I102" s="27"/>
      <c r="J102" s="27"/>
      <c r="K102" s="9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</row>
    <row r="103" spans="1:40" ht="12.75">
      <c r="A103" s="27"/>
      <c r="B103" s="27"/>
      <c r="C103" s="27"/>
      <c r="D103" s="27"/>
      <c r="E103" s="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</row>
    <row r="104" spans="1:40" ht="12.75">
      <c r="A104" s="27"/>
      <c r="B104" s="61" t="s">
        <v>84</v>
      </c>
      <c r="C104" s="62" t="s">
        <v>17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</row>
    <row r="105" spans="1:40" ht="24">
      <c r="A105" s="27"/>
      <c r="B105" s="76" t="s">
        <v>201</v>
      </c>
      <c r="C105" s="19">
        <v>600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</row>
    <row r="106" spans="1:40" ht="24">
      <c r="A106" s="27"/>
      <c r="B106" s="76" t="s">
        <v>200</v>
      </c>
      <c r="C106" s="19">
        <v>120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</row>
    <row r="107" spans="1:40" ht="12.75">
      <c r="A107" s="27"/>
      <c r="B107" s="76" t="s">
        <v>199</v>
      </c>
      <c r="C107" s="19">
        <v>480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</row>
    <row r="108" spans="1:40" ht="12.75">
      <c r="A108" s="27"/>
      <c r="B108" s="76" t="s">
        <v>208</v>
      </c>
      <c r="C108" s="19">
        <v>800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</row>
    <row r="109" spans="1:40" ht="12.75">
      <c r="A109" s="27"/>
      <c r="B109" s="61" t="s">
        <v>7</v>
      </c>
      <c r="C109" s="65">
        <f>SUM(C105:C108)</f>
        <v>2000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</row>
    <row r="110" spans="1:40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</row>
    <row r="111" spans="1:40" ht="12.75">
      <c r="A111" s="27"/>
      <c r="B111" s="27"/>
      <c r="C111" s="9"/>
      <c r="D111" s="27"/>
      <c r="E111" s="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</row>
    <row r="112" spans="1:40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</row>
    <row r="113" spans="1:40" ht="12.75">
      <c r="A113" s="27"/>
      <c r="B113" s="54" t="s">
        <v>24</v>
      </c>
      <c r="C113" s="54"/>
      <c r="D113" s="54"/>
      <c r="E113" s="54"/>
      <c r="F113" s="54"/>
      <c r="G113" s="54"/>
      <c r="H113" s="54"/>
      <c r="I113" s="54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</row>
    <row r="114" spans="1:40" ht="12.75">
      <c r="A114" s="27"/>
      <c r="B114" s="77" t="s">
        <v>25</v>
      </c>
      <c r="C114" s="78">
        <v>0</v>
      </c>
      <c r="D114" s="78">
        <v>1</v>
      </c>
      <c r="E114" s="78">
        <v>2</v>
      </c>
      <c r="F114" s="78">
        <v>3</v>
      </c>
      <c r="G114" s="78">
        <v>4</v>
      </c>
      <c r="H114" s="78">
        <v>5</v>
      </c>
      <c r="I114" s="78">
        <v>6</v>
      </c>
      <c r="J114" s="78">
        <v>7</v>
      </c>
      <c r="K114" s="78">
        <v>8</v>
      </c>
      <c r="L114" s="78">
        <v>9</v>
      </c>
      <c r="M114" s="78">
        <v>10</v>
      </c>
      <c r="N114" s="78">
        <v>11</v>
      </c>
      <c r="O114" s="78">
        <v>12</v>
      </c>
      <c r="P114" s="78">
        <v>13</v>
      </c>
      <c r="Q114" s="78">
        <v>14</v>
      </c>
      <c r="R114" s="78">
        <v>15</v>
      </c>
      <c r="S114" s="78">
        <v>16</v>
      </c>
      <c r="T114" s="78">
        <v>17</v>
      </c>
      <c r="U114" s="78">
        <v>18</v>
      </c>
      <c r="V114" s="78">
        <v>19</v>
      </c>
      <c r="W114" s="78">
        <v>20</v>
      </c>
      <c r="X114" s="78">
        <v>21</v>
      </c>
      <c r="Y114" s="78">
        <v>22</v>
      </c>
      <c r="Z114" s="78">
        <v>23</v>
      </c>
      <c r="AA114" s="78">
        <v>24</v>
      </c>
      <c r="AB114" s="78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2.75">
      <c r="A115" s="27"/>
      <c r="B115" s="79" t="s">
        <v>26</v>
      </c>
      <c r="C115" s="80" t="s">
        <v>3</v>
      </c>
      <c r="D115" s="80" t="s">
        <v>4</v>
      </c>
      <c r="E115" s="80" t="s">
        <v>5</v>
      </c>
      <c r="F115" s="80" t="s">
        <v>6</v>
      </c>
      <c r="G115" s="80" t="s">
        <v>50</v>
      </c>
      <c r="H115" s="80" t="s">
        <v>110</v>
      </c>
      <c r="I115" s="80" t="s">
        <v>111</v>
      </c>
      <c r="J115" s="80" t="s">
        <v>112</v>
      </c>
      <c r="K115" s="80" t="s">
        <v>113</v>
      </c>
      <c r="L115" s="80" t="s">
        <v>114</v>
      </c>
      <c r="M115" s="80" t="s">
        <v>115</v>
      </c>
      <c r="N115" s="80" t="s">
        <v>116</v>
      </c>
      <c r="O115" s="80" t="s">
        <v>168</v>
      </c>
      <c r="P115" s="80" t="s">
        <v>169</v>
      </c>
      <c r="Q115" s="80" t="s">
        <v>170</v>
      </c>
      <c r="R115" s="80" t="s">
        <v>171</v>
      </c>
      <c r="S115" s="80" t="s">
        <v>172</v>
      </c>
      <c r="T115" s="80" t="s">
        <v>173</v>
      </c>
      <c r="U115" s="80" t="s">
        <v>174</v>
      </c>
      <c r="V115" s="80" t="s">
        <v>175</v>
      </c>
      <c r="W115" s="80" t="s">
        <v>176</v>
      </c>
      <c r="X115" s="80" t="s">
        <v>177</v>
      </c>
      <c r="Y115" s="80" t="s">
        <v>178</v>
      </c>
      <c r="Z115" s="80" t="s">
        <v>179</v>
      </c>
      <c r="AA115" s="80" t="s">
        <v>235</v>
      </c>
      <c r="AB115" s="80" t="s">
        <v>7</v>
      </c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ht="12.75">
      <c r="A116" s="27"/>
      <c r="B116" s="81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2.75">
      <c r="A117" s="27"/>
      <c r="B117" s="81" t="s">
        <v>27</v>
      </c>
      <c r="C117" s="82">
        <v>0.04</v>
      </c>
      <c r="D117" s="82">
        <v>0.04</v>
      </c>
      <c r="E117" s="82">
        <v>0.04</v>
      </c>
      <c r="F117" s="82">
        <v>0.04</v>
      </c>
      <c r="G117" s="82">
        <v>0.04</v>
      </c>
      <c r="H117" s="82">
        <v>0.04</v>
      </c>
      <c r="I117" s="82">
        <v>0.04</v>
      </c>
      <c r="J117" s="82">
        <v>0.04</v>
      </c>
      <c r="K117" s="82">
        <v>0.04</v>
      </c>
      <c r="L117" s="82">
        <v>0.04</v>
      </c>
      <c r="M117" s="82">
        <v>0.04</v>
      </c>
      <c r="N117" s="82">
        <v>0.04</v>
      </c>
      <c r="O117" s="82">
        <v>0.04</v>
      </c>
      <c r="P117" s="82">
        <v>0.04</v>
      </c>
      <c r="Q117" s="82">
        <v>0.04</v>
      </c>
      <c r="R117" s="82">
        <v>0.04</v>
      </c>
      <c r="S117" s="82">
        <v>0.04</v>
      </c>
      <c r="T117" s="82">
        <v>0.04</v>
      </c>
      <c r="U117" s="82">
        <v>0.04</v>
      </c>
      <c r="V117" s="82">
        <v>0.04</v>
      </c>
      <c r="W117" s="82">
        <v>0.04</v>
      </c>
      <c r="X117" s="82">
        <v>0.04</v>
      </c>
      <c r="Y117" s="82">
        <v>0.04</v>
      </c>
      <c r="Z117" s="82">
        <v>0.04</v>
      </c>
      <c r="AA117" s="82">
        <v>0.04</v>
      </c>
      <c r="AB117" s="82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2.75">
      <c r="A118" s="27"/>
      <c r="B118" s="81" t="s">
        <v>28</v>
      </c>
      <c r="C118" s="83">
        <f>1/POWER(1.04,C114)</f>
        <v>1</v>
      </c>
      <c r="D118" s="83">
        <f>1/POWER(1.04,D114)</f>
        <v>0.9615384615384615</v>
      </c>
      <c r="E118" s="83">
        <f>1/POWER(1.04,E114)</f>
        <v>0.9245562130177514</v>
      </c>
      <c r="F118" s="83">
        <f>1/POWER(1.04,F114)</f>
        <v>0.8889963586709149</v>
      </c>
      <c r="G118" s="83">
        <f>1/POWER(1.04,G114)</f>
        <v>0.8548041910297257</v>
      </c>
      <c r="H118" s="83">
        <f aca="true" t="shared" si="20" ref="H118:AA118">1/POWER(1.04,H114)</f>
        <v>0.8219271067593515</v>
      </c>
      <c r="I118" s="83">
        <f t="shared" si="20"/>
        <v>0.7903145257301457</v>
      </c>
      <c r="J118" s="83">
        <f t="shared" si="20"/>
        <v>0.7599178132020633</v>
      </c>
      <c r="K118" s="83">
        <f t="shared" si="20"/>
        <v>0.7306902050019838</v>
      </c>
      <c r="L118" s="83">
        <f t="shared" si="20"/>
        <v>0.7025867355788304</v>
      </c>
      <c r="M118" s="83">
        <f t="shared" si="20"/>
        <v>0.6755641688257985</v>
      </c>
      <c r="N118" s="83">
        <f t="shared" si="20"/>
        <v>0.6495809315632679</v>
      </c>
      <c r="O118" s="83">
        <f t="shared" si="20"/>
        <v>0.6245970495800651</v>
      </c>
      <c r="P118" s="83">
        <f t="shared" si="20"/>
        <v>0.600574086134678</v>
      </c>
      <c r="Q118" s="83">
        <f t="shared" si="20"/>
        <v>0.5774750828218058</v>
      </c>
      <c r="R118" s="83">
        <f t="shared" si="20"/>
        <v>0.5552645027132748</v>
      </c>
      <c r="S118" s="83">
        <f t="shared" si="20"/>
        <v>0.533908175685841</v>
      </c>
      <c r="T118" s="83">
        <f t="shared" si="20"/>
        <v>0.5133732458517702</v>
      </c>
      <c r="U118" s="83">
        <f t="shared" si="20"/>
        <v>0.4936281210113175</v>
      </c>
      <c r="V118" s="83">
        <f t="shared" si="20"/>
        <v>0.47464242404934376</v>
      </c>
      <c r="W118" s="83">
        <f t="shared" si="20"/>
        <v>0.45638694620129205</v>
      </c>
      <c r="X118" s="83">
        <f t="shared" si="20"/>
        <v>0.43883360211662686</v>
      </c>
      <c r="Y118" s="83">
        <f t="shared" si="20"/>
        <v>0.4219553866506028</v>
      </c>
      <c r="Z118" s="83">
        <f t="shared" si="20"/>
        <v>0.4057263333178873</v>
      </c>
      <c r="AA118" s="83">
        <f t="shared" si="20"/>
        <v>0.3901214743441224</v>
      </c>
      <c r="AB118" s="83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2.75">
      <c r="A119" s="27"/>
      <c r="B119" s="81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2.75">
      <c r="A120" s="27"/>
      <c r="B120" s="81" t="s">
        <v>64</v>
      </c>
      <c r="C120" s="21">
        <f>C16+D16</f>
        <v>1041425.4300000002</v>
      </c>
      <c r="D120" s="21">
        <f>E16</f>
        <v>0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>
        <f>SUM(C120:AA120)</f>
        <v>1041425.4300000002</v>
      </c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2.75">
      <c r="A121" s="27"/>
      <c r="B121" s="84" t="s">
        <v>30</v>
      </c>
      <c r="C121" s="85">
        <f>C120*C118</f>
        <v>1041425.4300000002</v>
      </c>
      <c r="D121" s="85">
        <f aca="true" t="shared" si="21" ref="D121:Q121">D120*D118</f>
        <v>0</v>
      </c>
      <c r="E121" s="85">
        <f t="shared" si="21"/>
        <v>0</v>
      </c>
      <c r="F121" s="85">
        <f t="shared" si="21"/>
        <v>0</v>
      </c>
      <c r="G121" s="85">
        <f t="shared" si="21"/>
        <v>0</v>
      </c>
      <c r="H121" s="85">
        <f t="shared" si="21"/>
        <v>0</v>
      </c>
      <c r="I121" s="85">
        <f t="shared" si="21"/>
        <v>0</v>
      </c>
      <c r="J121" s="85">
        <f t="shared" si="21"/>
        <v>0</v>
      </c>
      <c r="K121" s="85">
        <f t="shared" si="21"/>
        <v>0</v>
      </c>
      <c r="L121" s="85">
        <f t="shared" si="21"/>
        <v>0</v>
      </c>
      <c r="M121" s="85">
        <f t="shared" si="21"/>
        <v>0</v>
      </c>
      <c r="N121" s="85">
        <f t="shared" si="21"/>
        <v>0</v>
      </c>
      <c r="O121" s="85">
        <f t="shared" si="21"/>
        <v>0</v>
      </c>
      <c r="P121" s="85">
        <f t="shared" si="21"/>
        <v>0</v>
      </c>
      <c r="Q121" s="85">
        <f t="shared" si="21"/>
        <v>0</v>
      </c>
      <c r="R121" s="85">
        <f aca="true" t="shared" si="22" ref="R121:AA121">R120*R118</f>
        <v>0</v>
      </c>
      <c r="S121" s="85">
        <f t="shared" si="22"/>
        <v>0</v>
      </c>
      <c r="T121" s="85">
        <f t="shared" si="22"/>
        <v>0</v>
      </c>
      <c r="U121" s="85">
        <f t="shared" si="22"/>
        <v>0</v>
      </c>
      <c r="V121" s="85">
        <f t="shared" si="22"/>
        <v>0</v>
      </c>
      <c r="W121" s="85">
        <f t="shared" si="22"/>
        <v>0</v>
      </c>
      <c r="X121" s="85">
        <f t="shared" si="22"/>
        <v>0</v>
      </c>
      <c r="Y121" s="85">
        <f t="shared" si="22"/>
        <v>0</v>
      </c>
      <c r="Z121" s="85">
        <f t="shared" si="22"/>
        <v>0</v>
      </c>
      <c r="AA121" s="85">
        <f t="shared" si="22"/>
        <v>0</v>
      </c>
      <c r="AB121" s="20">
        <f>SUM(C121:AA121)</f>
        <v>1041425.4300000002</v>
      </c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2.75">
      <c r="A122" s="27"/>
      <c r="B122" s="8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5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2.75">
      <c r="A123" s="27"/>
      <c r="B123" s="86" t="s">
        <v>31</v>
      </c>
      <c r="C123" s="87">
        <f>C58</f>
        <v>0</v>
      </c>
      <c r="D123" s="87">
        <f aca="true" t="shared" si="23" ref="D123:AA123">D58</f>
        <v>0</v>
      </c>
      <c r="E123" s="87">
        <f t="shared" si="23"/>
        <v>0</v>
      </c>
      <c r="F123" s="87">
        <f t="shared" si="23"/>
        <v>0</v>
      </c>
      <c r="G123" s="87">
        <f t="shared" si="23"/>
        <v>0</v>
      </c>
      <c r="H123" s="87">
        <f t="shared" si="23"/>
        <v>0</v>
      </c>
      <c r="I123" s="87">
        <f t="shared" si="23"/>
        <v>0</v>
      </c>
      <c r="J123" s="87">
        <f t="shared" si="23"/>
        <v>0</v>
      </c>
      <c r="K123" s="87">
        <f t="shared" si="23"/>
        <v>0</v>
      </c>
      <c r="L123" s="87">
        <f t="shared" si="23"/>
        <v>0</v>
      </c>
      <c r="M123" s="87">
        <f t="shared" si="23"/>
        <v>0</v>
      </c>
      <c r="N123" s="87">
        <f t="shared" si="23"/>
        <v>0</v>
      </c>
      <c r="O123" s="87">
        <f t="shared" si="23"/>
        <v>0</v>
      </c>
      <c r="P123" s="87">
        <f t="shared" si="23"/>
        <v>0</v>
      </c>
      <c r="Q123" s="87">
        <f t="shared" si="23"/>
        <v>0</v>
      </c>
      <c r="R123" s="87">
        <f t="shared" si="23"/>
        <v>0</v>
      </c>
      <c r="S123" s="87">
        <f t="shared" si="23"/>
        <v>0</v>
      </c>
      <c r="T123" s="87">
        <f t="shared" si="23"/>
        <v>0</v>
      </c>
      <c r="U123" s="87">
        <f t="shared" si="23"/>
        <v>0</v>
      </c>
      <c r="V123" s="87">
        <f t="shared" si="23"/>
        <v>0</v>
      </c>
      <c r="W123" s="87">
        <f t="shared" si="23"/>
        <v>0</v>
      </c>
      <c r="X123" s="87">
        <f t="shared" si="23"/>
        <v>0</v>
      </c>
      <c r="Y123" s="87">
        <f t="shared" si="23"/>
        <v>0</v>
      </c>
      <c r="Z123" s="87">
        <f t="shared" si="23"/>
        <v>0</v>
      </c>
      <c r="AA123" s="87">
        <f t="shared" si="23"/>
        <v>0</v>
      </c>
      <c r="AB123" s="21">
        <f>SUM(C123:AA123)</f>
        <v>0</v>
      </c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12.75">
      <c r="A124" s="27"/>
      <c r="B124" s="84" t="s">
        <v>32</v>
      </c>
      <c r="C124" s="85">
        <f>C123*C118</f>
        <v>0</v>
      </c>
      <c r="D124" s="85">
        <f aca="true" t="shared" si="24" ref="D124:Q124">D123*D118</f>
        <v>0</v>
      </c>
      <c r="E124" s="85">
        <f t="shared" si="24"/>
        <v>0</v>
      </c>
      <c r="F124" s="85">
        <f t="shared" si="24"/>
        <v>0</v>
      </c>
      <c r="G124" s="85">
        <f t="shared" si="24"/>
        <v>0</v>
      </c>
      <c r="H124" s="85">
        <f t="shared" si="24"/>
        <v>0</v>
      </c>
      <c r="I124" s="85">
        <f t="shared" si="24"/>
        <v>0</v>
      </c>
      <c r="J124" s="85">
        <f t="shared" si="24"/>
        <v>0</v>
      </c>
      <c r="K124" s="85">
        <f t="shared" si="24"/>
        <v>0</v>
      </c>
      <c r="L124" s="85">
        <f t="shared" si="24"/>
        <v>0</v>
      </c>
      <c r="M124" s="85">
        <f t="shared" si="24"/>
        <v>0</v>
      </c>
      <c r="N124" s="85">
        <f t="shared" si="24"/>
        <v>0</v>
      </c>
      <c r="O124" s="85">
        <f t="shared" si="24"/>
        <v>0</v>
      </c>
      <c r="P124" s="85">
        <f t="shared" si="24"/>
        <v>0</v>
      </c>
      <c r="Q124" s="85">
        <f t="shared" si="24"/>
        <v>0</v>
      </c>
      <c r="R124" s="85">
        <f aca="true" t="shared" si="25" ref="R124:AA124">R123*R118</f>
        <v>0</v>
      </c>
      <c r="S124" s="85">
        <f t="shared" si="25"/>
        <v>0</v>
      </c>
      <c r="T124" s="85">
        <f t="shared" si="25"/>
        <v>0</v>
      </c>
      <c r="U124" s="85">
        <f t="shared" si="25"/>
        <v>0</v>
      </c>
      <c r="V124" s="85">
        <f t="shared" si="25"/>
        <v>0</v>
      </c>
      <c r="W124" s="85">
        <f t="shared" si="25"/>
        <v>0</v>
      </c>
      <c r="X124" s="85">
        <f t="shared" si="25"/>
        <v>0</v>
      </c>
      <c r="Y124" s="85">
        <f t="shared" si="25"/>
        <v>0</v>
      </c>
      <c r="Z124" s="85">
        <f t="shared" si="25"/>
        <v>0</v>
      </c>
      <c r="AA124" s="85">
        <f t="shared" si="25"/>
        <v>0</v>
      </c>
      <c r="AB124" s="20">
        <f>SUM(C124:AA124)</f>
        <v>0</v>
      </c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2.75">
      <c r="A125" s="27"/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5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2.75">
      <c r="A126" s="27"/>
      <c r="B126" s="86" t="s">
        <v>12</v>
      </c>
      <c r="C126" s="87">
        <f>C78</f>
        <v>0</v>
      </c>
      <c r="D126" s="87">
        <f aca="true" t="shared" si="26" ref="D126:AA126">D78</f>
        <v>600</v>
      </c>
      <c r="E126" s="87">
        <f t="shared" si="26"/>
        <v>1520</v>
      </c>
      <c r="F126" s="87">
        <f t="shared" si="26"/>
        <v>1520</v>
      </c>
      <c r="G126" s="87">
        <f t="shared" si="26"/>
        <v>1520</v>
      </c>
      <c r="H126" s="87">
        <f t="shared" si="26"/>
        <v>1520</v>
      </c>
      <c r="I126" s="87">
        <f t="shared" si="26"/>
        <v>1880</v>
      </c>
      <c r="J126" s="87">
        <f t="shared" si="26"/>
        <v>2000</v>
      </c>
      <c r="K126" s="87">
        <f t="shared" si="26"/>
        <v>2000</v>
      </c>
      <c r="L126" s="87">
        <f t="shared" si="26"/>
        <v>2000</v>
      </c>
      <c r="M126" s="87">
        <f t="shared" si="26"/>
        <v>2000</v>
      </c>
      <c r="N126" s="87">
        <f t="shared" si="26"/>
        <v>2000</v>
      </c>
      <c r="O126" s="87">
        <f t="shared" si="26"/>
        <v>2000</v>
      </c>
      <c r="P126" s="87">
        <f t="shared" si="26"/>
        <v>2000</v>
      </c>
      <c r="Q126" s="87">
        <f t="shared" si="26"/>
        <v>2000</v>
      </c>
      <c r="R126" s="87">
        <f t="shared" si="26"/>
        <v>2000</v>
      </c>
      <c r="S126" s="87">
        <f t="shared" si="26"/>
        <v>2000</v>
      </c>
      <c r="T126" s="87">
        <f t="shared" si="26"/>
        <v>2000</v>
      </c>
      <c r="U126" s="87">
        <f t="shared" si="26"/>
        <v>2000</v>
      </c>
      <c r="V126" s="87">
        <f t="shared" si="26"/>
        <v>2000</v>
      </c>
      <c r="W126" s="87">
        <f t="shared" si="26"/>
        <v>2000</v>
      </c>
      <c r="X126" s="87">
        <f t="shared" si="26"/>
        <v>2000</v>
      </c>
      <c r="Y126" s="87">
        <f t="shared" si="26"/>
        <v>2000</v>
      </c>
      <c r="Z126" s="87">
        <f t="shared" si="26"/>
        <v>2000</v>
      </c>
      <c r="AA126" s="87">
        <f t="shared" si="26"/>
        <v>2000</v>
      </c>
      <c r="AB126" s="21">
        <f>SUM(C126:AA126)</f>
        <v>44560</v>
      </c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2.75">
      <c r="A127" s="27"/>
      <c r="B127" s="84" t="s">
        <v>33</v>
      </c>
      <c r="C127" s="85">
        <f>C126*C118</f>
        <v>0</v>
      </c>
      <c r="D127" s="85">
        <f aca="true" t="shared" si="27" ref="D127:Q127">D126*D118</f>
        <v>576.9230769230769</v>
      </c>
      <c r="E127" s="85">
        <f t="shared" si="27"/>
        <v>1405.325443786982</v>
      </c>
      <c r="F127" s="85">
        <f t="shared" si="27"/>
        <v>1351.2744651797907</v>
      </c>
      <c r="G127" s="85">
        <f t="shared" si="27"/>
        <v>1299.3023703651832</v>
      </c>
      <c r="H127" s="85">
        <f t="shared" si="27"/>
        <v>1249.3292022742144</v>
      </c>
      <c r="I127" s="85">
        <f t="shared" si="27"/>
        <v>1485.791308372674</v>
      </c>
      <c r="J127" s="85">
        <f t="shared" si="27"/>
        <v>1519.8356264041265</v>
      </c>
      <c r="K127" s="85">
        <f t="shared" si="27"/>
        <v>1461.3804100039677</v>
      </c>
      <c r="L127" s="85">
        <f t="shared" si="27"/>
        <v>1405.173471157661</v>
      </c>
      <c r="M127" s="85">
        <f t="shared" si="27"/>
        <v>1351.1283376515971</v>
      </c>
      <c r="N127" s="85">
        <f t="shared" si="27"/>
        <v>1299.1618631265358</v>
      </c>
      <c r="O127" s="85">
        <f t="shared" si="27"/>
        <v>1249.1940991601302</v>
      </c>
      <c r="P127" s="85">
        <f t="shared" si="27"/>
        <v>1201.148172269356</v>
      </c>
      <c r="Q127" s="85">
        <f t="shared" si="27"/>
        <v>1154.9501656436116</v>
      </c>
      <c r="R127" s="85">
        <f aca="true" t="shared" si="28" ref="R127:AA127">R126*R118</f>
        <v>1110.5290054265495</v>
      </c>
      <c r="S127" s="85">
        <f t="shared" si="28"/>
        <v>1067.816351371682</v>
      </c>
      <c r="T127" s="85">
        <f t="shared" si="28"/>
        <v>1026.7464917035404</v>
      </c>
      <c r="U127" s="85">
        <f t="shared" si="28"/>
        <v>987.256242022635</v>
      </c>
      <c r="V127" s="85">
        <f t="shared" si="28"/>
        <v>949.2848480986875</v>
      </c>
      <c r="W127" s="85">
        <f t="shared" si="28"/>
        <v>912.7738924025841</v>
      </c>
      <c r="X127" s="85">
        <f t="shared" si="28"/>
        <v>877.6672042332538</v>
      </c>
      <c r="Y127" s="85">
        <f t="shared" si="28"/>
        <v>843.9107733012056</v>
      </c>
      <c r="Z127" s="85">
        <f t="shared" si="28"/>
        <v>811.4526666357747</v>
      </c>
      <c r="AA127" s="85">
        <f t="shared" si="28"/>
        <v>780.2429486882448</v>
      </c>
      <c r="AB127" s="20">
        <f>SUM(C127:AA127)</f>
        <v>27377.59843620306</v>
      </c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ht="12.75">
      <c r="A128" s="27"/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5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ht="12.75">
      <c r="A129" s="27"/>
      <c r="B129" s="86" t="s">
        <v>34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f>SUM(C129:AA129)</f>
        <v>0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12.75">
      <c r="A130" s="27"/>
      <c r="B130" s="88" t="s">
        <v>35</v>
      </c>
      <c r="C130" s="89">
        <f>C129*C118</f>
        <v>0</v>
      </c>
      <c r="D130" s="89">
        <f aca="true" t="shared" si="29" ref="D130:AA130">D129*D118</f>
        <v>0</v>
      </c>
      <c r="E130" s="89">
        <f t="shared" si="29"/>
        <v>0</v>
      </c>
      <c r="F130" s="89">
        <f t="shared" si="29"/>
        <v>0</v>
      </c>
      <c r="G130" s="89">
        <f t="shared" si="29"/>
        <v>0</v>
      </c>
      <c r="H130" s="89">
        <f t="shared" si="29"/>
        <v>0</v>
      </c>
      <c r="I130" s="89">
        <f t="shared" si="29"/>
        <v>0</v>
      </c>
      <c r="J130" s="89">
        <f t="shared" si="29"/>
        <v>0</v>
      </c>
      <c r="K130" s="89">
        <f t="shared" si="29"/>
        <v>0</v>
      </c>
      <c r="L130" s="89">
        <f t="shared" si="29"/>
        <v>0</v>
      </c>
      <c r="M130" s="89">
        <f t="shared" si="29"/>
        <v>0</v>
      </c>
      <c r="N130" s="89">
        <f t="shared" si="29"/>
        <v>0</v>
      </c>
      <c r="O130" s="89">
        <f t="shared" si="29"/>
        <v>0</v>
      </c>
      <c r="P130" s="89">
        <f t="shared" si="29"/>
        <v>0</v>
      </c>
      <c r="Q130" s="89">
        <f t="shared" si="29"/>
        <v>0</v>
      </c>
      <c r="R130" s="89">
        <f t="shared" si="29"/>
        <v>0</v>
      </c>
      <c r="S130" s="89">
        <f t="shared" si="29"/>
        <v>0</v>
      </c>
      <c r="T130" s="89">
        <f t="shared" si="29"/>
        <v>0</v>
      </c>
      <c r="U130" s="89">
        <f t="shared" si="29"/>
        <v>0</v>
      </c>
      <c r="V130" s="89">
        <f t="shared" si="29"/>
        <v>0</v>
      </c>
      <c r="W130" s="89">
        <f t="shared" si="29"/>
        <v>0</v>
      </c>
      <c r="X130" s="89">
        <f t="shared" si="29"/>
        <v>0</v>
      </c>
      <c r="Y130" s="89">
        <f t="shared" si="29"/>
        <v>0</v>
      </c>
      <c r="Z130" s="89">
        <f t="shared" si="29"/>
        <v>0</v>
      </c>
      <c r="AA130" s="89">
        <f t="shared" si="29"/>
        <v>0</v>
      </c>
      <c r="AB130" s="89">
        <f>SUM(C130:AA130)</f>
        <v>0</v>
      </c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ht="12.75">
      <c r="A131" s="27"/>
      <c r="B131" s="27"/>
      <c r="C131" s="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</row>
    <row r="132" spans="1:40" ht="12.75">
      <c r="A132" s="27"/>
      <c r="B132" s="27"/>
      <c r="C132" s="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</row>
    <row r="133" spans="1:40" ht="12.75">
      <c r="A133" s="27"/>
      <c r="B133" s="90" t="s">
        <v>18</v>
      </c>
      <c r="C133" s="91" t="s">
        <v>108</v>
      </c>
      <c r="D133" s="92" t="s">
        <v>19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</row>
    <row r="134" spans="1:40" ht="12.75">
      <c r="A134" s="27"/>
      <c r="B134" s="93"/>
      <c r="C134" s="94"/>
      <c r="D134" s="9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</row>
    <row r="135" spans="1:40" ht="12.75">
      <c r="A135" s="27"/>
      <c r="B135" s="96" t="s">
        <v>20</v>
      </c>
      <c r="C135" s="97" t="s">
        <v>21</v>
      </c>
      <c r="D135" s="98">
        <f>AB121</f>
        <v>1041425.4300000002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</row>
    <row r="136" spans="1:40" ht="12.75">
      <c r="A136" s="27"/>
      <c r="B136" s="99" t="s">
        <v>22</v>
      </c>
      <c r="C136" s="97" t="s">
        <v>36</v>
      </c>
      <c r="D136" s="100">
        <f>AB124-AB127+AB130</f>
        <v>-27377.59843620306</v>
      </c>
      <c r="E136" s="9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</row>
    <row r="137" spans="1:40" ht="12.75">
      <c r="A137" s="27"/>
      <c r="B137" s="96" t="s">
        <v>37</v>
      </c>
      <c r="C137" s="97" t="s">
        <v>38</v>
      </c>
      <c r="D137" s="100">
        <f>D135</f>
        <v>1041425.4300000002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</row>
    <row r="138" spans="1:40" ht="12.75">
      <c r="A138" s="27"/>
      <c r="B138" s="96" t="s">
        <v>39</v>
      </c>
      <c r="C138" s="97" t="s">
        <v>40</v>
      </c>
      <c r="D138" s="101">
        <f>D137/D135</f>
        <v>1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</row>
    <row r="139" spans="1:40" ht="12.75">
      <c r="A139" s="27"/>
      <c r="B139" s="96" t="s">
        <v>23</v>
      </c>
      <c r="C139" s="97" t="s">
        <v>41</v>
      </c>
      <c r="D139" s="100">
        <f>AB120</f>
        <v>1041425.4300000002</v>
      </c>
      <c r="E139" s="9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</row>
    <row r="140" spans="1:40" ht="12.75">
      <c r="A140" s="27"/>
      <c r="B140" s="96" t="s">
        <v>42</v>
      </c>
      <c r="C140" s="97" t="s">
        <v>43</v>
      </c>
      <c r="D140" s="100">
        <f>D139*D138</f>
        <v>1041425.4300000002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</row>
    <row r="141" spans="1:40" ht="12.75">
      <c r="A141" s="27"/>
      <c r="B141" s="96" t="s">
        <v>44</v>
      </c>
      <c r="C141" s="97" t="s">
        <v>45</v>
      </c>
      <c r="D141" s="101">
        <v>0.85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</row>
    <row r="142" spans="1:40" ht="12.75">
      <c r="A142" s="27"/>
      <c r="B142" s="96" t="s">
        <v>46</v>
      </c>
      <c r="C142" s="102" t="s">
        <v>47</v>
      </c>
      <c r="D142" s="103">
        <f>D141*D140</f>
        <v>885211.6155000001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</row>
    <row r="143" spans="1:40" ht="12.75">
      <c r="A143" s="27"/>
      <c r="B143" s="96" t="s">
        <v>48</v>
      </c>
      <c r="C143" s="102" t="s">
        <v>49</v>
      </c>
      <c r="D143" s="104">
        <f>ROUNDDOWN(D142/D139,4)</f>
        <v>0.85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</row>
    <row r="144" spans="1:40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</row>
    <row r="145" spans="1:40" ht="12.75">
      <c r="A145" s="27"/>
      <c r="B145" s="129"/>
      <c r="C145" s="129"/>
      <c r="D145" s="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</row>
    <row r="146" spans="1:40" ht="12.75">
      <c r="A146" s="27"/>
      <c r="B146" s="129"/>
      <c r="C146" s="129"/>
      <c r="D146" s="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</row>
    <row r="147" spans="1:40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</row>
    <row r="148" spans="1:40" ht="12.75">
      <c r="A148" s="27"/>
      <c r="B148" s="54" t="s">
        <v>77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</row>
    <row r="149" spans="1:40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</row>
    <row r="150" spans="1:40" ht="12.75">
      <c r="A150" s="27"/>
      <c r="B150" s="130" t="s">
        <v>25</v>
      </c>
      <c r="C150" s="78">
        <v>0</v>
      </c>
      <c r="D150" s="131">
        <v>1</v>
      </c>
      <c r="E150" s="131">
        <v>2</v>
      </c>
      <c r="F150" s="131">
        <v>3</v>
      </c>
      <c r="G150" s="131">
        <v>4</v>
      </c>
      <c r="H150" s="131">
        <v>5</v>
      </c>
      <c r="I150" s="131">
        <v>6</v>
      </c>
      <c r="J150" s="131">
        <v>7</v>
      </c>
      <c r="K150" s="131">
        <v>8</v>
      </c>
      <c r="L150" s="131">
        <v>9</v>
      </c>
      <c r="M150" s="131">
        <v>10</v>
      </c>
      <c r="N150" s="131">
        <v>11</v>
      </c>
      <c r="O150" s="131">
        <v>12</v>
      </c>
      <c r="P150" s="131">
        <v>13</v>
      </c>
      <c r="Q150" s="131">
        <v>14</v>
      </c>
      <c r="R150" s="131">
        <v>15</v>
      </c>
      <c r="S150" s="131">
        <v>16</v>
      </c>
      <c r="T150" s="131">
        <v>17</v>
      </c>
      <c r="U150" s="131">
        <v>18</v>
      </c>
      <c r="V150" s="131">
        <v>19</v>
      </c>
      <c r="W150" s="131">
        <v>20</v>
      </c>
      <c r="X150" s="131">
        <v>21</v>
      </c>
      <c r="Y150" s="131">
        <v>22</v>
      </c>
      <c r="Z150" s="131">
        <v>23</v>
      </c>
      <c r="AA150" s="131">
        <v>24</v>
      </c>
      <c r="AB150" s="27"/>
      <c r="AC150" s="27"/>
      <c r="AD150" s="27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</row>
    <row r="151" spans="1:40" ht="12.75">
      <c r="A151" s="27"/>
      <c r="B151" s="61" t="s">
        <v>26</v>
      </c>
      <c r="C151" s="132" t="s">
        <v>3</v>
      </c>
      <c r="D151" s="132" t="s">
        <v>4</v>
      </c>
      <c r="E151" s="132" t="s">
        <v>5</v>
      </c>
      <c r="F151" s="132" t="s">
        <v>6</v>
      </c>
      <c r="G151" s="132" t="s">
        <v>50</v>
      </c>
      <c r="H151" s="132" t="s">
        <v>110</v>
      </c>
      <c r="I151" s="132" t="s">
        <v>111</v>
      </c>
      <c r="J151" s="132" t="s">
        <v>112</v>
      </c>
      <c r="K151" s="132" t="s">
        <v>113</v>
      </c>
      <c r="L151" s="132" t="s">
        <v>114</v>
      </c>
      <c r="M151" s="132" t="s">
        <v>115</v>
      </c>
      <c r="N151" s="132" t="s">
        <v>116</v>
      </c>
      <c r="O151" s="132" t="s">
        <v>168</v>
      </c>
      <c r="P151" s="132" t="s">
        <v>169</v>
      </c>
      <c r="Q151" s="132" t="s">
        <v>170</v>
      </c>
      <c r="R151" s="132" t="s">
        <v>171</v>
      </c>
      <c r="S151" s="132" t="s">
        <v>172</v>
      </c>
      <c r="T151" s="132" t="s">
        <v>173</v>
      </c>
      <c r="U151" s="132" t="s">
        <v>174</v>
      </c>
      <c r="V151" s="132" t="s">
        <v>175</v>
      </c>
      <c r="W151" s="132" t="s">
        <v>176</v>
      </c>
      <c r="X151" s="132" t="s">
        <v>177</v>
      </c>
      <c r="Y151" s="132" t="s">
        <v>178</v>
      </c>
      <c r="Z151" s="132" t="s">
        <v>179</v>
      </c>
      <c r="AA151" s="132" t="s">
        <v>235</v>
      </c>
      <c r="AB151" s="27"/>
      <c r="AC151" s="27"/>
      <c r="AD151" s="27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</row>
    <row r="152" spans="1:40" ht="12.75">
      <c r="A152" s="27"/>
      <c r="B152" s="63" t="s">
        <v>78</v>
      </c>
      <c r="C152" s="21"/>
      <c r="D152" s="64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27"/>
      <c r="AC152" s="27"/>
      <c r="AD152" s="27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</row>
    <row r="153" spans="1:40" ht="12.75">
      <c r="A153" s="27"/>
      <c r="B153" s="63" t="s">
        <v>79</v>
      </c>
      <c r="C153" s="21"/>
      <c r="D153" s="64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27"/>
      <c r="AC153" s="27"/>
      <c r="AD153" s="27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</row>
    <row r="154" spans="1:40" ht="12.75">
      <c r="A154" s="27"/>
      <c r="B154" s="63" t="s">
        <v>80</v>
      </c>
      <c r="C154" s="21"/>
      <c r="D154" s="64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27"/>
      <c r="AC154" s="27"/>
      <c r="AD154" s="27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</row>
    <row r="155" spans="1:40" ht="12.75">
      <c r="A155" s="27"/>
      <c r="B155" s="68" t="s">
        <v>81</v>
      </c>
      <c r="C155" s="134">
        <f aca="true" t="shared" si="30" ref="C155:Q155">C152+C153-C154</f>
        <v>0</v>
      </c>
      <c r="D155" s="134">
        <f t="shared" si="30"/>
        <v>0</v>
      </c>
      <c r="E155" s="134">
        <f t="shared" si="30"/>
        <v>0</v>
      </c>
      <c r="F155" s="134">
        <f t="shared" si="30"/>
        <v>0</v>
      </c>
      <c r="G155" s="134">
        <f t="shared" si="30"/>
        <v>0</v>
      </c>
      <c r="H155" s="134">
        <f t="shared" si="30"/>
        <v>0</v>
      </c>
      <c r="I155" s="134">
        <f t="shared" si="30"/>
        <v>0</v>
      </c>
      <c r="J155" s="134">
        <f t="shared" si="30"/>
        <v>0</v>
      </c>
      <c r="K155" s="134">
        <f t="shared" si="30"/>
        <v>0</v>
      </c>
      <c r="L155" s="134">
        <f t="shared" si="30"/>
        <v>0</v>
      </c>
      <c r="M155" s="134">
        <f t="shared" si="30"/>
        <v>0</v>
      </c>
      <c r="N155" s="134">
        <f t="shared" si="30"/>
        <v>0</v>
      </c>
      <c r="O155" s="134">
        <f t="shared" si="30"/>
        <v>0</v>
      </c>
      <c r="P155" s="134">
        <f t="shared" si="30"/>
        <v>0</v>
      </c>
      <c r="Q155" s="134">
        <f t="shared" si="30"/>
        <v>0</v>
      </c>
      <c r="R155" s="134">
        <f aca="true" t="shared" si="31" ref="R155:AA155">R152+R153-R154</f>
        <v>0</v>
      </c>
      <c r="S155" s="134">
        <f t="shared" si="31"/>
        <v>0</v>
      </c>
      <c r="T155" s="134">
        <f t="shared" si="31"/>
        <v>0</v>
      </c>
      <c r="U155" s="134">
        <f t="shared" si="31"/>
        <v>0</v>
      </c>
      <c r="V155" s="134">
        <f t="shared" si="31"/>
        <v>0</v>
      </c>
      <c r="W155" s="134">
        <f t="shared" si="31"/>
        <v>0</v>
      </c>
      <c r="X155" s="134">
        <f t="shared" si="31"/>
        <v>0</v>
      </c>
      <c r="Y155" s="134">
        <f t="shared" si="31"/>
        <v>0</v>
      </c>
      <c r="Z155" s="134">
        <f t="shared" si="31"/>
        <v>0</v>
      </c>
      <c r="AA155" s="134">
        <f t="shared" si="31"/>
        <v>0</v>
      </c>
      <c r="AB155" s="27"/>
      <c r="AC155" s="27"/>
      <c r="AD155" s="27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</row>
    <row r="156" spans="1:40" ht="12.75">
      <c r="A156" s="27"/>
      <c r="B156" s="110" t="s">
        <v>82</v>
      </c>
      <c r="C156" s="135">
        <f>C155</f>
        <v>0</v>
      </c>
      <c r="D156" s="125">
        <f>D155-C155</f>
        <v>0</v>
      </c>
      <c r="E156" s="136">
        <f aca="true" t="shared" si="32" ref="E156:P156">E155-D155</f>
        <v>0</v>
      </c>
      <c r="F156" s="136">
        <f t="shared" si="32"/>
        <v>0</v>
      </c>
      <c r="G156" s="136">
        <f t="shared" si="32"/>
        <v>0</v>
      </c>
      <c r="H156" s="136">
        <f t="shared" si="32"/>
        <v>0</v>
      </c>
      <c r="I156" s="136">
        <f t="shared" si="32"/>
        <v>0</v>
      </c>
      <c r="J156" s="136">
        <f t="shared" si="32"/>
        <v>0</v>
      </c>
      <c r="K156" s="136">
        <f t="shared" si="32"/>
        <v>0</v>
      </c>
      <c r="L156" s="136">
        <f t="shared" si="32"/>
        <v>0</v>
      </c>
      <c r="M156" s="136">
        <f t="shared" si="32"/>
        <v>0</v>
      </c>
      <c r="N156" s="136">
        <f t="shared" si="32"/>
        <v>0</v>
      </c>
      <c r="O156" s="136">
        <f t="shared" si="32"/>
        <v>0</v>
      </c>
      <c r="P156" s="136">
        <f t="shared" si="32"/>
        <v>0</v>
      </c>
      <c r="Q156" s="136">
        <f aca="true" t="shared" si="33" ref="Q156:AA156">Q155-P155</f>
        <v>0</v>
      </c>
      <c r="R156" s="136">
        <f t="shared" si="33"/>
        <v>0</v>
      </c>
      <c r="S156" s="136">
        <f t="shared" si="33"/>
        <v>0</v>
      </c>
      <c r="T156" s="136">
        <f t="shared" si="33"/>
        <v>0</v>
      </c>
      <c r="U156" s="136">
        <f t="shared" si="33"/>
        <v>0</v>
      </c>
      <c r="V156" s="136">
        <f t="shared" si="33"/>
        <v>0</v>
      </c>
      <c r="W156" s="136">
        <f t="shared" si="33"/>
        <v>0</v>
      </c>
      <c r="X156" s="136">
        <f t="shared" si="33"/>
        <v>0</v>
      </c>
      <c r="Y156" s="136">
        <f t="shared" si="33"/>
        <v>0</v>
      </c>
      <c r="Z156" s="136">
        <f t="shared" si="33"/>
        <v>0</v>
      </c>
      <c r="AA156" s="136">
        <f t="shared" si="33"/>
        <v>0</v>
      </c>
      <c r="AB156" s="27"/>
      <c r="AC156" s="27"/>
      <c r="AD156" s="27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</row>
    <row r="157" spans="1:40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</row>
    <row r="158" spans="1:40" ht="12.75">
      <c r="A158" s="27"/>
      <c r="B158" s="27"/>
      <c r="C158" s="27"/>
      <c r="D158" s="27"/>
      <c r="E158" s="27"/>
      <c r="F158" s="9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</row>
    <row r="159" spans="1:40" ht="12.75">
      <c r="A159" s="27"/>
      <c r="B159" s="54" t="s">
        <v>83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</row>
    <row r="160" spans="1:40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9"/>
      <c r="P160" s="9"/>
      <c r="Q160" s="9"/>
      <c r="R160" s="9"/>
      <c r="S160" s="9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</row>
    <row r="161" spans="1:40" ht="12.75">
      <c r="A161" s="27"/>
      <c r="B161" s="68" t="s">
        <v>25</v>
      </c>
      <c r="C161" s="131">
        <v>0</v>
      </c>
      <c r="D161" s="131">
        <v>1</v>
      </c>
      <c r="E161" s="131">
        <v>2</v>
      </c>
      <c r="F161" s="131">
        <v>3</v>
      </c>
      <c r="G161" s="131">
        <v>4</v>
      </c>
      <c r="H161" s="131">
        <v>5</v>
      </c>
      <c r="I161" s="131">
        <v>6</v>
      </c>
      <c r="J161" s="131">
        <v>7</v>
      </c>
      <c r="K161" s="131">
        <v>8</v>
      </c>
      <c r="L161" s="131">
        <v>9</v>
      </c>
      <c r="M161" s="131">
        <v>10</v>
      </c>
      <c r="N161" s="131">
        <v>11</v>
      </c>
      <c r="O161" s="131">
        <v>12</v>
      </c>
      <c r="P161" s="131">
        <v>13</v>
      </c>
      <c r="Q161" s="131">
        <v>14</v>
      </c>
      <c r="R161" s="131">
        <v>15</v>
      </c>
      <c r="S161" s="131">
        <v>16</v>
      </c>
      <c r="T161" s="131">
        <v>17</v>
      </c>
      <c r="U161" s="131">
        <v>18</v>
      </c>
      <c r="V161" s="131">
        <v>19</v>
      </c>
      <c r="W161" s="131">
        <v>20</v>
      </c>
      <c r="X161" s="131">
        <v>21</v>
      </c>
      <c r="Y161" s="131">
        <v>22</v>
      </c>
      <c r="Z161" s="131">
        <v>23</v>
      </c>
      <c r="AA161" s="131">
        <v>24</v>
      </c>
      <c r="AB161" s="27"/>
      <c r="AC161" s="27"/>
      <c r="AD161" s="27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</row>
    <row r="162" spans="1:40" ht="12.75">
      <c r="A162" s="27"/>
      <c r="B162" s="61" t="s">
        <v>26</v>
      </c>
      <c r="C162" s="137" t="s">
        <v>3</v>
      </c>
      <c r="D162" s="137" t="s">
        <v>4</v>
      </c>
      <c r="E162" s="137" t="s">
        <v>5</v>
      </c>
      <c r="F162" s="137" t="s">
        <v>6</v>
      </c>
      <c r="G162" s="137" t="s">
        <v>50</v>
      </c>
      <c r="H162" s="137" t="s">
        <v>110</v>
      </c>
      <c r="I162" s="137" t="s">
        <v>111</v>
      </c>
      <c r="J162" s="137" t="s">
        <v>112</v>
      </c>
      <c r="K162" s="137" t="s">
        <v>113</v>
      </c>
      <c r="L162" s="137" t="s">
        <v>114</v>
      </c>
      <c r="M162" s="137" t="s">
        <v>115</v>
      </c>
      <c r="N162" s="137" t="s">
        <v>116</v>
      </c>
      <c r="O162" s="137" t="s">
        <v>168</v>
      </c>
      <c r="P162" s="137" t="s">
        <v>169</v>
      </c>
      <c r="Q162" s="137" t="s">
        <v>170</v>
      </c>
      <c r="R162" s="137" t="s">
        <v>171</v>
      </c>
      <c r="S162" s="137" t="s">
        <v>172</v>
      </c>
      <c r="T162" s="137" t="s">
        <v>173</v>
      </c>
      <c r="U162" s="137" t="s">
        <v>174</v>
      </c>
      <c r="V162" s="137" t="s">
        <v>175</v>
      </c>
      <c r="W162" s="137" t="s">
        <v>176</v>
      </c>
      <c r="X162" s="137" t="s">
        <v>177</v>
      </c>
      <c r="Y162" s="137" t="s">
        <v>178</v>
      </c>
      <c r="Z162" s="137" t="s">
        <v>179</v>
      </c>
      <c r="AA162" s="137" t="s">
        <v>235</v>
      </c>
      <c r="AB162" s="27"/>
      <c r="AC162" s="27"/>
      <c r="AD162" s="27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</row>
    <row r="163" spans="1:40" ht="12.75">
      <c r="A163" s="27"/>
      <c r="B163" s="109" t="s">
        <v>140</v>
      </c>
      <c r="C163" s="124">
        <f>C58</f>
        <v>0</v>
      </c>
      <c r="D163" s="124">
        <f aca="true" t="shared" si="34" ref="D163:Q163">D58</f>
        <v>0</v>
      </c>
      <c r="E163" s="124">
        <f t="shared" si="34"/>
        <v>0</v>
      </c>
      <c r="F163" s="124">
        <f t="shared" si="34"/>
        <v>0</v>
      </c>
      <c r="G163" s="124">
        <f t="shared" si="34"/>
        <v>0</v>
      </c>
      <c r="H163" s="124">
        <f t="shared" si="34"/>
        <v>0</v>
      </c>
      <c r="I163" s="124">
        <f t="shared" si="34"/>
        <v>0</v>
      </c>
      <c r="J163" s="124">
        <f t="shared" si="34"/>
        <v>0</v>
      </c>
      <c r="K163" s="124">
        <f t="shared" si="34"/>
        <v>0</v>
      </c>
      <c r="L163" s="124">
        <f t="shared" si="34"/>
        <v>0</v>
      </c>
      <c r="M163" s="124">
        <f t="shared" si="34"/>
        <v>0</v>
      </c>
      <c r="N163" s="124">
        <f t="shared" si="34"/>
        <v>0</v>
      </c>
      <c r="O163" s="124">
        <f t="shared" si="34"/>
        <v>0</v>
      </c>
      <c r="P163" s="124">
        <f t="shared" si="34"/>
        <v>0</v>
      </c>
      <c r="Q163" s="124">
        <f t="shared" si="34"/>
        <v>0</v>
      </c>
      <c r="R163" s="124">
        <f aca="true" t="shared" si="35" ref="R163:AA163">R58</f>
        <v>0</v>
      </c>
      <c r="S163" s="124">
        <f t="shared" si="35"/>
        <v>0</v>
      </c>
      <c r="T163" s="124">
        <f t="shared" si="35"/>
        <v>0</v>
      </c>
      <c r="U163" s="124">
        <f t="shared" si="35"/>
        <v>0</v>
      </c>
      <c r="V163" s="124">
        <f t="shared" si="35"/>
        <v>0</v>
      </c>
      <c r="W163" s="124">
        <f t="shared" si="35"/>
        <v>0</v>
      </c>
      <c r="X163" s="124">
        <f t="shared" si="35"/>
        <v>0</v>
      </c>
      <c r="Y163" s="124">
        <f t="shared" si="35"/>
        <v>0</v>
      </c>
      <c r="Z163" s="124">
        <f t="shared" si="35"/>
        <v>0</v>
      </c>
      <c r="AA163" s="124">
        <f t="shared" si="35"/>
        <v>0</v>
      </c>
      <c r="AB163" s="27"/>
      <c r="AC163" s="27"/>
      <c r="AD163" s="27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</row>
    <row r="164" spans="1:40" ht="12.75">
      <c r="A164" s="27"/>
      <c r="B164" s="180" t="s">
        <v>195</v>
      </c>
      <c r="C164" s="125">
        <v>0</v>
      </c>
      <c r="D164" s="125">
        <v>0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27"/>
      <c r="AC164" s="27"/>
      <c r="AD164" s="27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</row>
    <row r="165" spans="1:40" ht="12.75">
      <c r="A165" s="27"/>
      <c r="B165" s="181" t="s">
        <v>84</v>
      </c>
      <c r="C165" s="22">
        <f aca="true" t="shared" si="36" ref="C165:Q165">SUM(C166:C169)</f>
        <v>0</v>
      </c>
      <c r="D165" s="22">
        <f t="shared" si="36"/>
        <v>600</v>
      </c>
      <c r="E165" s="22">
        <f t="shared" si="36"/>
        <v>1520</v>
      </c>
      <c r="F165" s="22">
        <f t="shared" si="36"/>
        <v>1520</v>
      </c>
      <c r="G165" s="22">
        <f t="shared" si="36"/>
        <v>1520</v>
      </c>
      <c r="H165" s="22">
        <f t="shared" si="36"/>
        <v>1520</v>
      </c>
      <c r="I165" s="22">
        <f t="shared" si="36"/>
        <v>1880</v>
      </c>
      <c r="J165" s="22">
        <f t="shared" si="36"/>
        <v>2000</v>
      </c>
      <c r="K165" s="22">
        <f t="shared" si="36"/>
        <v>2000</v>
      </c>
      <c r="L165" s="22">
        <f t="shared" si="36"/>
        <v>2000</v>
      </c>
      <c r="M165" s="22">
        <f t="shared" si="36"/>
        <v>2000</v>
      </c>
      <c r="N165" s="22">
        <f t="shared" si="36"/>
        <v>2000</v>
      </c>
      <c r="O165" s="22">
        <f t="shared" si="36"/>
        <v>2000</v>
      </c>
      <c r="P165" s="22">
        <f t="shared" si="36"/>
        <v>2000</v>
      </c>
      <c r="Q165" s="22">
        <f t="shared" si="36"/>
        <v>2000</v>
      </c>
      <c r="R165" s="22">
        <f aca="true" t="shared" si="37" ref="R165:AA165">SUM(R166:R169)</f>
        <v>2000</v>
      </c>
      <c r="S165" s="22">
        <f t="shared" si="37"/>
        <v>2000</v>
      </c>
      <c r="T165" s="22">
        <f t="shared" si="37"/>
        <v>2000</v>
      </c>
      <c r="U165" s="22">
        <f t="shared" si="37"/>
        <v>2000</v>
      </c>
      <c r="V165" s="22">
        <f t="shared" si="37"/>
        <v>2000</v>
      </c>
      <c r="W165" s="22">
        <f t="shared" si="37"/>
        <v>2000</v>
      </c>
      <c r="X165" s="22">
        <f t="shared" si="37"/>
        <v>2000</v>
      </c>
      <c r="Y165" s="22">
        <f t="shared" si="37"/>
        <v>2000</v>
      </c>
      <c r="Z165" s="22">
        <f t="shared" si="37"/>
        <v>2000</v>
      </c>
      <c r="AA165" s="22">
        <f t="shared" si="37"/>
        <v>2000</v>
      </c>
      <c r="AB165" s="27"/>
      <c r="AC165" s="27"/>
      <c r="AD165" s="27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</row>
    <row r="166" spans="1:40" ht="12.75">
      <c r="A166" s="27"/>
      <c r="B166" s="63" t="s">
        <v>124</v>
      </c>
      <c r="C166" s="64">
        <f>C73</f>
        <v>0</v>
      </c>
      <c r="D166" s="64">
        <f aca="true" t="shared" si="38" ref="D166:Q166">D73</f>
        <v>0</v>
      </c>
      <c r="E166" s="64">
        <f t="shared" si="38"/>
        <v>720</v>
      </c>
      <c r="F166" s="64">
        <f t="shared" si="38"/>
        <v>720</v>
      </c>
      <c r="G166" s="64">
        <f t="shared" si="38"/>
        <v>720</v>
      </c>
      <c r="H166" s="64">
        <f t="shared" si="38"/>
        <v>720</v>
      </c>
      <c r="I166" s="64">
        <f t="shared" si="38"/>
        <v>720</v>
      </c>
      <c r="J166" s="64">
        <f t="shared" si="38"/>
        <v>720</v>
      </c>
      <c r="K166" s="64">
        <f t="shared" si="38"/>
        <v>720</v>
      </c>
      <c r="L166" s="64">
        <f t="shared" si="38"/>
        <v>720</v>
      </c>
      <c r="M166" s="64">
        <f t="shared" si="38"/>
        <v>720</v>
      </c>
      <c r="N166" s="64">
        <f t="shared" si="38"/>
        <v>720</v>
      </c>
      <c r="O166" s="64">
        <f t="shared" si="38"/>
        <v>720</v>
      </c>
      <c r="P166" s="64">
        <f t="shared" si="38"/>
        <v>720</v>
      </c>
      <c r="Q166" s="64">
        <f t="shared" si="38"/>
        <v>720</v>
      </c>
      <c r="R166" s="64">
        <f aca="true" t="shared" si="39" ref="R166:AA166">R73</f>
        <v>720</v>
      </c>
      <c r="S166" s="64">
        <f t="shared" si="39"/>
        <v>720</v>
      </c>
      <c r="T166" s="64">
        <f t="shared" si="39"/>
        <v>720</v>
      </c>
      <c r="U166" s="64">
        <f t="shared" si="39"/>
        <v>720</v>
      </c>
      <c r="V166" s="64">
        <f t="shared" si="39"/>
        <v>720</v>
      </c>
      <c r="W166" s="64">
        <f t="shared" si="39"/>
        <v>720</v>
      </c>
      <c r="X166" s="64">
        <f t="shared" si="39"/>
        <v>720</v>
      </c>
      <c r="Y166" s="64">
        <f t="shared" si="39"/>
        <v>720</v>
      </c>
      <c r="Z166" s="64">
        <f t="shared" si="39"/>
        <v>720</v>
      </c>
      <c r="AA166" s="64">
        <f t="shared" si="39"/>
        <v>720</v>
      </c>
      <c r="AB166" s="27"/>
      <c r="AC166" s="27"/>
      <c r="AD166" s="27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</row>
    <row r="167" spans="1:40" ht="12.75">
      <c r="A167" s="27"/>
      <c r="B167" s="63" t="s">
        <v>85</v>
      </c>
      <c r="C167" s="64">
        <f>C74</f>
        <v>0</v>
      </c>
      <c r="D167" s="64">
        <f aca="true" t="shared" si="40" ref="D167:Q167">D74</f>
        <v>0</v>
      </c>
      <c r="E167" s="64">
        <f t="shared" si="40"/>
        <v>0</v>
      </c>
      <c r="F167" s="64">
        <f t="shared" si="40"/>
        <v>0</v>
      </c>
      <c r="G167" s="64">
        <f t="shared" si="40"/>
        <v>0</v>
      </c>
      <c r="H167" s="64">
        <f t="shared" si="40"/>
        <v>0</v>
      </c>
      <c r="I167" s="64">
        <f t="shared" si="40"/>
        <v>360</v>
      </c>
      <c r="J167" s="64">
        <f t="shared" si="40"/>
        <v>480</v>
      </c>
      <c r="K167" s="64">
        <f t="shared" si="40"/>
        <v>480</v>
      </c>
      <c r="L167" s="64">
        <f t="shared" si="40"/>
        <v>480</v>
      </c>
      <c r="M167" s="64">
        <f t="shared" si="40"/>
        <v>480</v>
      </c>
      <c r="N167" s="64">
        <f t="shared" si="40"/>
        <v>480</v>
      </c>
      <c r="O167" s="64">
        <f t="shared" si="40"/>
        <v>480</v>
      </c>
      <c r="P167" s="64">
        <f t="shared" si="40"/>
        <v>480</v>
      </c>
      <c r="Q167" s="64">
        <f t="shared" si="40"/>
        <v>480</v>
      </c>
      <c r="R167" s="64">
        <f aca="true" t="shared" si="41" ref="R167:AA167">R74</f>
        <v>480</v>
      </c>
      <c r="S167" s="64">
        <f t="shared" si="41"/>
        <v>480</v>
      </c>
      <c r="T167" s="64">
        <f t="shared" si="41"/>
        <v>480</v>
      </c>
      <c r="U167" s="64">
        <f t="shared" si="41"/>
        <v>480</v>
      </c>
      <c r="V167" s="64">
        <f t="shared" si="41"/>
        <v>480</v>
      </c>
      <c r="W167" s="64">
        <f t="shared" si="41"/>
        <v>480</v>
      </c>
      <c r="X167" s="64">
        <f t="shared" si="41"/>
        <v>480</v>
      </c>
      <c r="Y167" s="64">
        <f t="shared" si="41"/>
        <v>480</v>
      </c>
      <c r="Z167" s="64">
        <f t="shared" si="41"/>
        <v>480</v>
      </c>
      <c r="AA167" s="64">
        <f t="shared" si="41"/>
        <v>480</v>
      </c>
      <c r="AB167" s="27"/>
      <c r="AC167" s="27"/>
      <c r="AD167" s="27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</row>
    <row r="168" spans="1:40" ht="12.75">
      <c r="A168" s="27"/>
      <c r="B168" s="63" t="s">
        <v>154</v>
      </c>
      <c r="C168" s="64">
        <f>C76</f>
        <v>0</v>
      </c>
      <c r="D168" s="64">
        <f aca="true" t="shared" si="42" ref="D168:Q168">D76</f>
        <v>0</v>
      </c>
      <c r="E168" s="64">
        <f t="shared" si="42"/>
        <v>0</v>
      </c>
      <c r="F168" s="64">
        <f t="shared" si="42"/>
        <v>0</v>
      </c>
      <c r="G168" s="64">
        <f t="shared" si="42"/>
        <v>0</v>
      </c>
      <c r="H168" s="64">
        <f t="shared" si="42"/>
        <v>0</v>
      </c>
      <c r="I168" s="64">
        <f t="shared" si="42"/>
        <v>0</v>
      </c>
      <c r="J168" s="64">
        <f t="shared" si="42"/>
        <v>0</v>
      </c>
      <c r="K168" s="64">
        <f t="shared" si="42"/>
        <v>0</v>
      </c>
      <c r="L168" s="64">
        <f t="shared" si="42"/>
        <v>0</v>
      </c>
      <c r="M168" s="64">
        <f t="shared" si="42"/>
        <v>0</v>
      </c>
      <c r="N168" s="64">
        <f t="shared" si="42"/>
        <v>0</v>
      </c>
      <c r="O168" s="64">
        <f t="shared" si="42"/>
        <v>0</v>
      </c>
      <c r="P168" s="64">
        <f t="shared" si="42"/>
        <v>0</v>
      </c>
      <c r="Q168" s="64">
        <f t="shared" si="42"/>
        <v>0</v>
      </c>
      <c r="R168" s="64">
        <f aca="true" t="shared" si="43" ref="R168:AA168">R76</f>
        <v>0</v>
      </c>
      <c r="S168" s="64">
        <f t="shared" si="43"/>
        <v>0</v>
      </c>
      <c r="T168" s="64">
        <f t="shared" si="43"/>
        <v>0</v>
      </c>
      <c r="U168" s="64">
        <f t="shared" si="43"/>
        <v>0</v>
      </c>
      <c r="V168" s="64">
        <f t="shared" si="43"/>
        <v>0</v>
      </c>
      <c r="W168" s="64">
        <f t="shared" si="43"/>
        <v>0</v>
      </c>
      <c r="X168" s="64">
        <f t="shared" si="43"/>
        <v>0</v>
      </c>
      <c r="Y168" s="64">
        <f t="shared" si="43"/>
        <v>0</v>
      </c>
      <c r="Z168" s="64">
        <f t="shared" si="43"/>
        <v>0</v>
      </c>
      <c r="AA168" s="64">
        <f t="shared" si="43"/>
        <v>0</v>
      </c>
      <c r="AB168" s="27"/>
      <c r="AC168" s="27"/>
      <c r="AD168" s="27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</row>
    <row r="169" spans="1:40" ht="12.75">
      <c r="A169" s="27"/>
      <c r="B169" s="63" t="s">
        <v>86</v>
      </c>
      <c r="C169" s="64">
        <f>C77</f>
        <v>0</v>
      </c>
      <c r="D169" s="64">
        <f aca="true" t="shared" si="44" ref="D169:Q169">D77</f>
        <v>600</v>
      </c>
      <c r="E169" s="64">
        <f t="shared" si="44"/>
        <v>800</v>
      </c>
      <c r="F169" s="64">
        <f t="shared" si="44"/>
        <v>800</v>
      </c>
      <c r="G169" s="64">
        <f t="shared" si="44"/>
        <v>800</v>
      </c>
      <c r="H169" s="64">
        <f t="shared" si="44"/>
        <v>800</v>
      </c>
      <c r="I169" s="64">
        <f t="shared" si="44"/>
        <v>800</v>
      </c>
      <c r="J169" s="64">
        <f t="shared" si="44"/>
        <v>800</v>
      </c>
      <c r="K169" s="64">
        <f t="shared" si="44"/>
        <v>800</v>
      </c>
      <c r="L169" s="64">
        <f t="shared" si="44"/>
        <v>800</v>
      </c>
      <c r="M169" s="64">
        <f t="shared" si="44"/>
        <v>800</v>
      </c>
      <c r="N169" s="64">
        <f t="shared" si="44"/>
        <v>800</v>
      </c>
      <c r="O169" s="64">
        <f t="shared" si="44"/>
        <v>800</v>
      </c>
      <c r="P169" s="64">
        <f t="shared" si="44"/>
        <v>800</v>
      </c>
      <c r="Q169" s="64">
        <f t="shared" si="44"/>
        <v>800</v>
      </c>
      <c r="R169" s="64">
        <f aca="true" t="shared" si="45" ref="R169:AA169">R77</f>
        <v>800</v>
      </c>
      <c r="S169" s="64">
        <f t="shared" si="45"/>
        <v>800</v>
      </c>
      <c r="T169" s="64">
        <f t="shared" si="45"/>
        <v>800</v>
      </c>
      <c r="U169" s="64">
        <f t="shared" si="45"/>
        <v>800</v>
      </c>
      <c r="V169" s="64">
        <f t="shared" si="45"/>
        <v>800</v>
      </c>
      <c r="W169" s="64">
        <f t="shared" si="45"/>
        <v>800</v>
      </c>
      <c r="X169" s="64">
        <f t="shared" si="45"/>
        <v>800</v>
      </c>
      <c r="Y169" s="64">
        <f t="shared" si="45"/>
        <v>800</v>
      </c>
      <c r="Z169" s="64">
        <f t="shared" si="45"/>
        <v>800</v>
      </c>
      <c r="AA169" s="64">
        <f t="shared" si="45"/>
        <v>800</v>
      </c>
      <c r="AB169" s="27"/>
      <c r="AC169" s="27"/>
      <c r="AD169" s="27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</row>
    <row r="170" spans="1:40" ht="12.75">
      <c r="A170" s="27"/>
      <c r="B170" s="182" t="s">
        <v>87</v>
      </c>
      <c r="C170" s="65">
        <f aca="true" t="shared" si="46" ref="C170:Q170">C163+C164-C165</f>
        <v>0</v>
      </c>
      <c r="D170" s="65">
        <f t="shared" si="46"/>
        <v>-600</v>
      </c>
      <c r="E170" s="65">
        <f t="shared" si="46"/>
        <v>-1520</v>
      </c>
      <c r="F170" s="65">
        <f t="shared" si="46"/>
        <v>-1520</v>
      </c>
      <c r="G170" s="65">
        <f t="shared" si="46"/>
        <v>-1520</v>
      </c>
      <c r="H170" s="65">
        <f t="shared" si="46"/>
        <v>-1520</v>
      </c>
      <c r="I170" s="65">
        <f t="shared" si="46"/>
        <v>-1880</v>
      </c>
      <c r="J170" s="65">
        <f t="shared" si="46"/>
        <v>-2000</v>
      </c>
      <c r="K170" s="65">
        <f t="shared" si="46"/>
        <v>-2000</v>
      </c>
      <c r="L170" s="65">
        <f t="shared" si="46"/>
        <v>-2000</v>
      </c>
      <c r="M170" s="65">
        <f t="shared" si="46"/>
        <v>-2000</v>
      </c>
      <c r="N170" s="65">
        <f t="shared" si="46"/>
        <v>-2000</v>
      </c>
      <c r="O170" s="65">
        <f t="shared" si="46"/>
        <v>-2000</v>
      </c>
      <c r="P170" s="65">
        <f t="shared" si="46"/>
        <v>-2000</v>
      </c>
      <c r="Q170" s="65">
        <f t="shared" si="46"/>
        <v>-2000</v>
      </c>
      <c r="R170" s="65">
        <f aca="true" t="shared" si="47" ref="R170:AA170">R163+R164-R165</f>
        <v>-2000</v>
      </c>
      <c r="S170" s="65">
        <f t="shared" si="47"/>
        <v>-2000</v>
      </c>
      <c r="T170" s="65">
        <f t="shared" si="47"/>
        <v>-2000</v>
      </c>
      <c r="U170" s="65">
        <f t="shared" si="47"/>
        <v>-2000</v>
      </c>
      <c r="V170" s="65">
        <f t="shared" si="47"/>
        <v>-2000</v>
      </c>
      <c r="W170" s="65">
        <f t="shared" si="47"/>
        <v>-2000</v>
      </c>
      <c r="X170" s="65">
        <f t="shared" si="47"/>
        <v>-2000</v>
      </c>
      <c r="Y170" s="65">
        <f t="shared" si="47"/>
        <v>-2000</v>
      </c>
      <c r="Z170" s="65">
        <f t="shared" si="47"/>
        <v>-2000</v>
      </c>
      <c r="AA170" s="65">
        <f t="shared" si="47"/>
        <v>-2000</v>
      </c>
      <c r="AB170" s="27"/>
      <c r="AC170" s="27"/>
      <c r="AD170" s="27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</row>
    <row r="171" spans="1:40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9"/>
      <c r="P171" s="9"/>
      <c r="Q171" s="9"/>
      <c r="R171" s="9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</row>
    <row r="172" spans="1:40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</row>
    <row r="173" spans="1:40" ht="12.75">
      <c r="A173" s="27"/>
      <c r="B173" s="54" t="s">
        <v>88</v>
      </c>
      <c r="C173" s="27"/>
      <c r="D173" s="27"/>
      <c r="E173" s="27"/>
      <c r="F173" s="9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</row>
    <row r="174" spans="1: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</row>
    <row r="175" spans="1:40" ht="12.75">
      <c r="A175" s="27"/>
      <c r="B175" s="68" t="s">
        <v>25</v>
      </c>
      <c r="C175" s="183">
        <v>0</v>
      </c>
      <c r="D175" s="183">
        <v>0</v>
      </c>
      <c r="E175" s="131">
        <v>1</v>
      </c>
      <c r="F175" s="131">
        <v>2</v>
      </c>
      <c r="G175" s="131">
        <v>3</v>
      </c>
      <c r="H175" s="131">
        <v>4</v>
      </c>
      <c r="I175" s="131">
        <v>5</v>
      </c>
      <c r="J175" s="131">
        <v>6</v>
      </c>
      <c r="K175" s="131">
        <v>7</v>
      </c>
      <c r="L175" s="131">
        <v>8</v>
      </c>
      <c r="M175" s="131">
        <v>9</v>
      </c>
      <c r="N175" s="131">
        <v>10</v>
      </c>
      <c r="O175" s="131">
        <v>11</v>
      </c>
      <c r="P175" s="131">
        <v>12</v>
      </c>
      <c r="Q175" s="131">
        <v>13</v>
      </c>
      <c r="R175" s="131">
        <v>14</v>
      </c>
      <c r="S175" s="131">
        <v>15</v>
      </c>
      <c r="T175" s="131">
        <v>16</v>
      </c>
      <c r="U175" s="131">
        <v>17</v>
      </c>
      <c r="V175" s="131">
        <v>18</v>
      </c>
      <c r="W175" s="131">
        <v>19</v>
      </c>
      <c r="X175" s="131">
        <v>20</v>
      </c>
      <c r="Y175" s="131">
        <v>21</v>
      </c>
      <c r="Z175" s="131">
        <v>22</v>
      </c>
      <c r="AA175" s="131">
        <v>23</v>
      </c>
      <c r="AB175" s="131">
        <v>24</v>
      </c>
      <c r="AC175" s="27"/>
      <c r="AD175" s="27"/>
      <c r="AE175" s="27"/>
      <c r="AF175" s="159"/>
      <c r="AG175" s="159"/>
      <c r="AH175" s="159"/>
      <c r="AI175" s="159"/>
      <c r="AJ175" s="159"/>
      <c r="AK175" s="159"/>
      <c r="AL175" s="159"/>
      <c r="AM175" s="159"/>
      <c r="AN175" s="159"/>
    </row>
    <row r="176" spans="1:40" ht="12.75">
      <c r="A176" s="27"/>
      <c r="B176" s="61" t="s">
        <v>26</v>
      </c>
      <c r="C176" s="137" t="s">
        <v>3</v>
      </c>
      <c r="D176" s="137" t="s">
        <v>4</v>
      </c>
      <c r="E176" s="137" t="s">
        <v>5</v>
      </c>
      <c r="F176" s="137" t="s">
        <v>6</v>
      </c>
      <c r="G176" s="137" t="s">
        <v>50</v>
      </c>
      <c r="H176" s="137" t="s">
        <v>110</v>
      </c>
      <c r="I176" s="137" t="s">
        <v>111</v>
      </c>
      <c r="J176" s="137" t="s">
        <v>112</v>
      </c>
      <c r="K176" s="137" t="s">
        <v>113</v>
      </c>
      <c r="L176" s="137" t="s">
        <v>114</v>
      </c>
      <c r="M176" s="137" t="s">
        <v>115</v>
      </c>
      <c r="N176" s="137" t="s">
        <v>116</v>
      </c>
      <c r="O176" s="137" t="s">
        <v>168</v>
      </c>
      <c r="P176" s="137" t="s">
        <v>169</v>
      </c>
      <c r="Q176" s="137" t="s">
        <v>170</v>
      </c>
      <c r="R176" s="137" t="s">
        <v>171</v>
      </c>
      <c r="S176" s="137" t="s">
        <v>172</v>
      </c>
      <c r="T176" s="137" t="s">
        <v>173</v>
      </c>
      <c r="U176" s="137" t="s">
        <v>174</v>
      </c>
      <c r="V176" s="137" t="s">
        <v>175</v>
      </c>
      <c r="W176" s="137" t="s">
        <v>176</v>
      </c>
      <c r="X176" s="137" t="s">
        <v>177</v>
      </c>
      <c r="Y176" s="137" t="s">
        <v>178</v>
      </c>
      <c r="Z176" s="137" t="s">
        <v>179</v>
      </c>
      <c r="AA176" s="137" t="s">
        <v>235</v>
      </c>
      <c r="AB176" s="137" t="s">
        <v>236</v>
      </c>
      <c r="AC176" s="27"/>
      <c r="AD176" s="27"/>
      <c r="AE176" s="27"/>
      <c r="AF176" s="159"/>
      <c r="AG176" s="159"/>
      <c r="AH176" s="159"/>
      <c r="AI176" s="159"/>
      <c r="AJ176" s="159"/>
      <c r="AK176" s="159"/>
      <c r="AL176" s="159"/>
      <c r="AM176" s="159"/>
      <c r="AN176" s="159"/>
    </row>
    <row r="177" spans="1:40" ht="12.75">
      <c r="A177" s="27"/>
      <c r="B177" s="181" t="s">
        <v>109</v>
      </c>
      <c r="C177" s="22">
        <f>SUM(C178:C180)</f>
        <v>0</v>
      </c>
      <c r="D177" s="22">
        <f>SUM(D178:D180)</f>
        <v>0</v>
      </c>
      <c r="E177" s="22">
        <f aca="true" t="shared" si="48" ref="E177:R177">SUM(E178:E180)</f>
        <v>-600</v>
      </c>
      <c r="F177" s="22">
        <f t="shared" si="48"/>
        <v>-1520</v>
      </c>
      <c r="G177" s="22">
        <f t="shared" si="48"/>
        <v>-1520</v>
      </c>
      <c r="H177" s="22">
        <f t="shared" si="48"/>
        <v>-1520</v>
      </c>
      <c r="I177" s="22">
        <f t="shared" si="48"/>
        <v>-1520</v>
      </c>
      <c r="J177" s="22">
        <f t="shared" si="48"/>
        <v>-1880</v>
      </c>
      <c r="K177" s="22">
        <f t="shared" si="48"/>
        <v>-2000</v>
      </c>
      <c r="L177" s="22">
        <f t="shared" si="48"/>
        <v>-2000</v>
      </c>
      <c r="M177" s="22">
        <f t="shared" si="48"/>
        <v>-2000</v>
      </c>
      <c r="N177" s="22">
        <f t="shared" si="48"/>
        <v>-2000</v>
      </c>
      <c r="O177" s="22">
        <f t="shared" si="48"/>
        <v>-2000</v>
      </c>
      <c r="P177" s="22">
        <f t="shared" si="48"/>
        <v>-2000</v>
      </c>
      <c r="Q177" s="22">
        <f t="shared" si="48"/>
        <v>-2000</v>
      </c>
      <c r="R177" s="22">
        <f t="shared" si="48"/>
        <v>-2000</v>
      </c>
      <c r="S177" s="22">
        <f aca="true" t="shared" si="49" ref="S177:AB177">SUM(S178:S180)</f>
        <v>-2000</v>
      </c>
      <c r="T177" s="22">
        <f t="shared" si="49"/>
        <v>-2000</v>
      </c>
      <c r="U177" s="22">
        <f t="shared" si="49"/>
        <v>-2000</v>
      </c>
      <c r="V177" s="22">
        <f t="shared" si="49"/>
        <v>-2000</v>
      </c>
      <c r="W177" s="22">
        <f t="shared" si="49"/>
        <v>-2000</v>
      </c>
      <c r="X177" s="22">
        <f t="shared" si="49"/>
        <v>-2000</v>
      </c>
      <c r="Y177" s="22">
        <f t="shared" si="49"/>
        <v>-2000</v>
      </c>
      <c r="Z177" s="22">
        <f t="shared" si="49"/>
        <v>-2000</v>
      </c>
      <c r="AA177" s="22">
        <f t="shared" si="49"/>
        <v>-2000</v>
      </c>
      <c r="AB177" s="22">
        <f t="shared" si="49"/>
        <v>-2000</v>
      </c>
      <c r="AC177" s="27"/>
      <c r="AD177" s="27"/>
      <c r="AE177" s="27"/>
      <c r="AF177" s="159"/>
      <c r="AG177" s="159"/>
      <c r="AH177" s="159"/>
      <c r="AI177" s="159"/>
      <c r="AJ177" s="159"/>
      <c r="AK177" s="159"/>
      <c r="AL177" s="159"/>
      <c r="AM177" s="159"/>
      <c r="AN177" s="159"/>
    </row>
    <row r="178" spans="1:40" ht="12.75">
      <c r="A178" s="27"/>
      <c r="B178" s="63" t="s">
        <v>104</v>
      </c>
      <c r="C178" s="64">
        <v>0</v>
      </c>
      <c r="D178" s="64">
        <f>C163+C164</f>
        <v>0</v>
      </c>
      <c r="E178" s="64">
        <f aca="true" t="shared" si="50" ref="E178:AB178">D163+D164</f>
        <v>0</v>
      </c>
      <c r="F178" s="64">
        <f t="shared" si="50"/>
        <v>0</v>
      </c>
      <c r="G178" s="64">
        <f t="shared" si="50"/>
        <v>0</v>
      </c>
      <c r="H178" s="64">
        <f t="shared" si="50"/>
        <v>0</v>
      </c>
      <c r="I178" s="64">
        <f t="shared" si="50"/>
        <v>0</v>
      </c>
      <c r="J178" s="64">
        <f t="shared" si="50"/>
        <v>0</v>
      </c>
      <c r="K178" s="64">
        <f t="shared" si="50"/>
        <v>0</v>
      </c>
      <c r="L178" s="64">
        <f t="shared" si="50"/>
        <v>0</v>
      </c>
      <c r="M178" s="64">
        <f t="shared" si="50"/>
        <v>0</v>
      </c>
      <c r="N178" s="64">
        <f t="shared" si="50"/>
        <v>0</v>
      </c>
      <c r="O178" s="64">
        <f t="shared" si="50"/>
        <v>0</v>
      </c>
      <c r="P178" s="64">
        <f t="shared" si="50"/>
        <v>0</v>
      </c>
      <c r="Q178" s="64">
        <f t="shared" si="50"/>
        <v>0</v>
      </c>
      <c r="R178" s="64">
        <f t="shared" si="50"/>
        <v>0</v>
      </c>
      <c r="S178" s="64">
        <f t="shared" si="50"/>
        <v>0</v>
      </c>
      <c r="T178" s="64">
        <f t="shared" si="50"/>
        <v>0</v>
      </c>
      <c r="U178" s="64">
        <f t="shared" si="50"/>
        <v>0</v>
      </c>
      <c r="V178" s="64">
        <f t="shared" si="50"/>
        <v>0</v>
      </c>
      <c r="W178" s="64">
        <f t="shared" si="50"/>
        <v>0</v>
      </c>
      <c r="X178" s="64">
        <f t="shared" si="50"/>
        <v>0</v>
      </c>
      <c r="Y178" s="64">
        <f t="shared" si="50"/>
        <v>0</v>
      </c>
      <c r="Z178" s="64">
        <f t="shared" si="50"/>
        <v>0</v>
      </c>
      <c r="AA178" s="64">
        <f t="shared" si="50"/>
        <v>0</v>
      </c>
      <c r="AB178" s="64">
        <f t="shared" si="50"/>
        <v>0</v>
      </c>
      <c r="AC178" s="27"/>
      <c r="AD178" s="27"/>
      <c r="AE178" s="27"/>
      <c r="AF178" s="159"/>
      <c r="AG178" s="159"/>
      <c r="AH178" s="159"/>
      <c r="AI178" s="159"/>
      <c r="AJ178" s="159"/>
      <c r="AK178" s="159"/>
      <c r="AL178" s="159"/>
      <c r="AM178" s="159"/>
      <c r="AN178" s="159"/>
    </row>
    <row r="179" spans="1:40" ht="12.75">
      <c r="A179" s="27"/>
      <c r="B179" s="63" t="s">
        <v>103</v>
      </c>
      <c r="C179" s="64">
        <v>0</v>
      </c>
      <c r="D179" s="64">
        <f>C165*-1</f>
        <v>0</v>
      </c>
      <c r="E179" s="64">
        <f aca="true" t="shared" si="51" ref="E179:AB179">D165*-1</f>
        <v>-600</v>
      </c>
      <c r="F179" s="64">
        <f t="shared" si="51"/>
        <v>-1520</v>
      </c>
      <c r="G179" s="64">
        <f t="shared" si="51"/>
        <v>-1520</v>
      </c>
      <c r="H179" s="64">
        <f t="shared" si="51"/>
        <v>-1520</v>
      </c>
      <c r="I179" s="64">
        <f t="shared" si="51"/>
        <v>-1520</v>
      </c>
      <c r="J179" s="64">
        <f t="shared" si="51"/>
        <v>-1880</v>
      </c>
      <c r="K179" s="64">
        <f t="shared" si="51"/>
        <v>-2000</v>
      </c>
      <c r="L179" s="64">
        <f t="shared" si="51"/>
        <v>-2000</v>
      </c>
      <c r="M179" s="64">
        <f t="shared" si="51"/>
        <v>-2000</v>
      </c>
      <c r="N179" s="64">
        <f t="shared" si="51"/>
        <v>-2000</v>
      </c>
      <c r="O179" s="64">
        <f t="shared" si="51"/>
        <v>-2000</v>
      </c>
      <c r="P179" s="64">
        <f t="shared" si="51"/>
        <v>-2000</v>
      </c>
      <c r="Q179" s="64">
        <f t="shared" si="51"/>
        <v>-2000</v>
      </c>
      <c r="R179" s="64">
        <f t="shared" si="51"/>
        <v>-2000</v>
      </c>
      <c r="S179" s="64">
        <f t="shared" si="51"/>
        <v>-2000</v>
      </c>
      <c r="T179" s="64">
        <f t="shared" si="51"/>
        <v>-2000</v>
      </c>
      <c r="U179" s="64">
        <f t="shared" si="51"/>
        <v>-2000</v>
      </c>
      <c r="V179" s="64">
        <f t="shared" si="51"/>
        <v>-2000</v>
      </c>
      <c r="W179" s="64">
        <f t="shared" si="51"/>
        <v>-2000</v>
      </c>
      <c r="X179" s="64">
        <f t="shared" si="51"/>
        <v>-2000</v>
      </c>
      <c r="Y179" s="64">
        <f t="shared" si="51"/>
        <v>-2000</v>
      </c>
      <c r="Z179" s="64">
        <f t="shared" si="51"/>
        <v>-2000</v>
      </c>
      <c r="AA179" s="64">
        <f t="shared" si="51"/>
        <v>-2000</v>
      </c>
      <c r="AB179" s="64">
        <f t="shared" si="51"/>
        <v>-2000</v>
      </c>
      <c r="AC179" s="27"/>
      <c r="AD179" s="27"/>
      <c r="AE179" s="27"/>
      <c r="AF179" s="159"/>
      <c r="AG179" s="159"/>
      <c r="AH179" s="159"/>
      <c r="AI179" s="159"/>
      <c r="AJ179" s="159"/>
      <c r="AK179" s="159"/>
      <c r="AL179" s="159"/>
      <c r="AM179" s="159"/>
      <c r="AN179" s="159"/>
    </row>
    <row r="180" spans="1:40" ht="12.75">
      <c r="A180" s="27"/>
      <c r="B180" s="63" t="s">
        <v>95</v>
      </c>
      <c r="C180" s="64">
        <v>0</v>
      </c>
      <c r="D180" s="64">
        <f>C156*-1</f>
        <v>0</v>
      </c>
      <c r="E180" s="64">
        <f aca="true" t="shared" si="52" ref="E180:AB180">D156*-1</f>
        <v>0</v>
      </c>
      <c r="F180" s="64">
        <f t="shared" si="52"/>
        <v>0</v>
      </c>
      <c r="G180" s="64">
        <f t="shared" si="52"/>
        <v>0</v>
      </c>
      <c r="H180" s="64">
        <f t="shared" si="52"/>
        <v>0</v>
      </c>
      <c r="I180" s="64">
        <f t="shared" si="52"/>
        <v>0</v>
      </c>
      <c r="J180" s="64">
        <f t="shared" si="52"/>
        <v>0</v>
      </c>
      <c r="K180" s="64">
        <f t="shared" si="52"/>
        <v>0</v>
      </c>
      <c r="L180" s="64">
        <f t="shared" si="52"/>
        <v>0</v>
      </c>
      <c r="M180" s="64">
        <f t="shared" si="52"/>
        <v>0</v>
      </c>
      <c r="N180" s="64">
        <f t="shared" si="52"/>
        <v>0</v>
      </c>
      <c r="O180" s="64">
        <f t="shared" si="52"/>
        <v>0</v>
      </c>
      <c r="P180" s="64">
        <f t="shared" si="52"/>
        <v>0</v>
      </c>
      <c r="Q180" s="64">
        <f t="shared" si="52"/>
        <v>0</v>
      </c>
      <c r="R180" s="64">
        <f t="shared" si="52"/>
        <v>0</v>
      </c>
      <c r="S180" s="64">
        <f t="shared" si="52"/>
        <v>0</v>
      </c>
      <c r="T180" s="64">
        <f t="shared" si="52"/>
        <v>0</v>
      </c>
      <c r="U180" s="64">
        <f t="shared" si="52"/>
        <v>0</v>
      </c>
      <c r="V180" s="64">
        <f t="shared" si="52"/>
        <v>0</v>
      </c>
      <c r="W180" s="64">
        <f t="shared" si="52"/>
        <v>0</v>
      </c>
      <c r="X180" s="64">
        <f t="shared" si="52"/>
        <v>0</v>
      </c>
      <c r="Y180" s="64">
        <f t="shared" si="52"/>
        <v>0</v>
      </c>
      <c r="Z180" s="64">
        <f t="shared" si="52"/>
        <v>0</v>
      </c>
      <c r="AA180" s="64">
        <f t="shared" si="52"/>
        <v>0</v>
      </c>
      <c r="AB180" s="64">
        <f t="shared" si="52"/>
        <v>0</v>
      </c>
      <c r="AC180" s="27"/>
      <c r="AD180" s="27"/>
      <c r="AE180" s="27"/>
      <c r="AF180" s="159"/>
      <c r="AG180" s="159"/>
      <c r="AH180" s="159"/>
      <c r="AI180" s="159"/>
      <c r="AJ180" s="159"/>
      <c r="AK180" s="159"/>
      <c r="AL180" s="159"/>
      <c r="AM180" s="159"/>
      <c r="AN180" s="159"/>
    </row>
    <row r="181" spans="1:40" ht="12.75">
      <c r="A181" s="27"/>
      <c r="B181" s="181" t="s">
        <v>89</v>
      </c>
      <c r="C181" s="22">
        <f>SUM(C182)</f>
        <v>-1041425.4300000002</v>
      </c>
      <c r="D181" s="22">
        <f>SUM(D182)</f>
        <v>0</v>
      </c>
      <c r="E181" s="22">
        <f>SUM(E182)</f>
        <v>0</v>
      </c>
      <c r="F181" s="22">
        <f aca="true" t="shared" si="53" ref="F181:AB181">SUM(F182)</f>
        <v>0</v>
      </c>
      <c r="G181" s="22">
        <f t="shared" si="53"/>
        <v>0</v>
      </c>
      <c r="H181" s="22">
        <f t="shared" si="53"/>
        <v>0</v>
      </c>
      <c r="I181" s="22">
        <f t="shared" si="53"/>
        <v>0</v>
      </c>
      <c r="J181" s="22">
        <f t="shared" si="53"/>
        <v>0</v>
      </c>
      <c r="K181" s="22">
        <f t="shared" si="53"/>
        <v>0</v>
      </c>
      <c r="L181" s="22">
        <f t="shared" si="53"/>
        <v>0</v>
      </c>
      <c r="M181" s="22">
        <f t="shared" si="53"/>
        <v>0</v>
      </c>
      <c r="N181" s="22">
        <f t="shared" si="53"/>
        <v>0</v>
      </c>
      <c r="O181" s="22">
        <f t="shared" si="53"/>
        <v>0</v>
      </c>
      <c r="P181" s="22">
        <f t="shared" si="53"/>
        <v>0</v>
      </c>
      <c r="Q181" s="22">
        <f t="shared" si="53"/>
        <v>0</v>
      </c>
      <c r="R181" s="22">
        <f t="shared" si="53"/>
        <v>0</v>
      </c>
      <c r="S181" s="22">
        <f t="shared" si="53"/>
        <v>0</v>
      </c>
      <c r="T181" s="22">
        <f t="shared" si="53"/>
        <v>0</v>
      </c>
      <c r="U181" s="22">
        <f t="shared" si="53"/>
        <v>0</v>
      </c>
      <c r="V181" s="22">
        <f t="shared" si="53"/>
        <v>0</v>
      </c>
      <c r="W181" s="22">
        <f t="shared" si="53"/>
        <v>0</v>
      </c>
      <c r="X181" s="22">
        <f t="shared" si="53"/>
        <v>0</v>
      </c>
      <c r="Y181" s="22">
        <f t="shared" si="53"/>
        <v>0</v>
      </c>
      <c r="Z181" s="22">
        <f t="shared" si="53"/>
        <v>0</v>
      </c>
      <c r="AA181" s="22">
        <f t="shared" si="53"/>
        <v>0</v>
      </c>
      <c r="AB181" s="22">
        <f t="shared" si="53"/>
        <v>0</v>
      </c>
      <c r="AC181" s="27"/>
      <c r="AD181" s="27"/>
      <c r="AE181" s="27"/>
      <c r="AF181" s="159"/>
      <c r="AG181" s="159"/>
      <c r="AH181" s="159"/>
      <c r="AI181" s="159"/>
      <c r="AJ181" s="159"/>
      <c r="AK181" s="159"/>
      <c r="AL181" s="159"/>
      <c r="AM181" s="159"/>
      <c r="AN181" s="159"/>
    </row>
    <row r="182" spans="1:40" ht="12.75">
      <c r="A182" s="27"/>
      <c r="B182" s="63" t="s">
        <v>206</v>
      </c>
      <c r="C182" s="64">
        <f>C16*-1</f>
        <v>-1041425.4300000002</v>
      </c>
      <c r="D182" s="64">
        <f>D16*-1</f>
        <v>0</v>
      </c>
      <c r="E182" s="64">
        <f>E16*-1</f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64">
        <v>0</v>
      </c>
      <c r="V182" s="64">
        <v>0</v>
      </c>
      <c r="W182" s="64">
        <v>0</v>
      </c>
      <c r="X182" s="64">
        <v>0</v>
      </c>
      <c r="Y182" s="64">
        <v>0</v>
      </c>
      <c r="Z182" s="64">
        <v>0</v>
      </c>
      <c r="AA182" s="64">
        <v>0</v>
      </c>
      <c r="AB182" s="64">
        <v>0</v>
      </c>
      <c r="AC182" s="27"/>
      <c r="AD182" s="27"/>
      <c r="AE182" s="27"/>
      <c r="AF182" s="159"/>
      <c r="AG182" s="159"/>
      <c r="AH182" s="159"/>
      <c r="AI182" s="159"/>
      <c r="AJ182" s="159"/>
      <c r="AK182" s="159"/>
      <c r="AL182" s="159"/>
      <c r="AM182" s="159"/>
      <c r="AN182" s="159"/>
    </row>
    <row r="183" spans="1:40" ht="12.75">
      <c r="A183" s="27"/>
      <c r="B183" s="181" t="s">
        <v>90</v>
      </c>
      <c r="C183" s="22">
        <f>C184+C185+C186</f>
        <v>823925.43</v>
      </c>
      <c r="D183" s="22">
        <f>D184+D185+D186</f>
        <v>0</v>
      </c>
      <c r="E183" s="22">
        <f aca="true" t="shared" si="54" ref="E183:R183">E184+E185+E186</f>
        <v>600</v>
      </c>
      <c r="F183" s="22">
        <f t="shared" si="54"/>
        <v>1520</v>
      </c>
      <c r="G183" s="22">
        <f t="shared" si="54"/>
        <v>1520</v>
      </c>
      <c r="H183" s="22">
        <f t="shared" si="54"/>
        <v>1520</v>
      </c>
      <c r="I183" s="22">
        <f t="shared" si="54"/>
        <v>1520</v>
      </c>
      <c r="J183" s="22">
        <f t="shared" si="54"/>
        <v>1880</v>
      </c>
      <c r="K183" s="22">
        <f t="shared" si="54"/>
        <v>2000</v>
      </c>
      <c r="L183" s="22">
        <f t="shared" si="54"/>
        <v>2000</v>
      </c>
      <c r="M183" s="22">
        <f t="shared" si="54"/>
        <v>2000</v>
      </c>
      <c r="N183" s="22">
        <f t="shared" si="54"/>
        <v>2000</v>
      </c>
      <c r="O183" s="22">
        <f t="shared" si="54"/>
        <v>2000</v>
      </c>
      <c r="P183" s="22">
        <f t="shared" si="54"/>
        <v>2000</v>
      </c>
      <c r="Q183" s="22">
        <f t="shared" si="54"/>
        <v>2000</v>
      </c>
      <c r="R183" s="22">
        <f t="shared" si="54"/>
        <v>2000</v>
      </c>
      <c r="S183" s="22">
        <f aca="true" t="shared" si="55" ref="S183:AB183">S184+S185+S186</f>
        <v>2000</v>
      </c>
      <c r="T183" s="22">
        <f t="shared" si="55"/>
        <v>2000</v>
      </c>
      <c r="U183" s="22">
        <f t="shared" si="55"/>
        <v>2000</v>
      </c>
      <c r="V183" s="22">
        <f t="shared" si="55"/>
        <v>2000</v>
      </c>
      <c r="W183" s="22">
        <f t="shared" si="55"/>
        <v>2000</v>
      </c>
      <c r="X183" s="22">
        <f t="shared" si="55"/>
        <v>2000</v>
      </c>
      <c r="Y183" s="22">
        <f t="shared" si="55"/>
        <v>2000</v>
      </c>
      <c r="Z183" s="22">
        <f t="shared" si="55"/>
        <v>2000</v>
      </c>
      <c r="AA183" s="22">
        <f t="shared" si="55"/>
        <v>2000</v>
      </c>
      <c r="AB183" s="22">
        <f t="shared" si="55"/>
        <v>2000</v>
      </c>
      <c r="AC183" s="27"/>
      <c r="AD183" s="27"/>
      <c r="AE183" s="27"/>
      <c r="AF183" s="159"/>
      <c r="AG183" s="159"/>
      <c r="AH183" s="159"/>
      <c r="AI183" s="159"/>
      <c r="AJ183" s="159"/>
      <c r="AK183" s="159"/>
      <c r="AL183" s="159"/>
      <c r="AM183" s="159"/>
      <c r="AN183" s="159"/>
    </row>
    <row r="184" spans="1:40" ht="12.75">
      <c r="A184" s="27"/>
      <c r="B184" s="63" t="s">
        <v>147</v>
      </c>
      <c r="C184" s="64">
        <f>C45</f>
        <v>823925.43</v>
      </c>
      <c r="D184" s="64">
        <f>D45</f>
        <v>0</v>
      </c>
      <c r="E184" s="64">
        <f>E45</f>
        <v>0</v>
      </c>
      <c r="F184" s="64">
        <f>F45</f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64">
        <v>0</v>
      </c>
      <c r="V184" s="64">
        <v>0</v>
      </c>
      <c r="W184" s="64">
        <v>0</v>
      </c>
      <c r="X184" s="64">
        <v>0</v>
      </c>
      <c r="Y184" s="64">
        <v>0</v>
      </c>
      <c r="Z184" s="64">
        <v>0</v>
      </c>
      <c r="AA184" s="64">
        <v>0</v>
      </c>
      <c r="AB184" s="64">
        <v>0</v>
      </c>
      <c r="AC184" s="27"/>
      <c r="AD184" s="27"/>
      <c r="AE184" s="27"/>
      <c r="AF184" s="159"/>
      <c r="AG184" s="159"/>
      <c r="AH184" s="159"/>
      <c r="AI184" s="159"/>
      <c r="AJ184" s="159"/>
      <c r="AK184" s="159"/>
      <c r="AL184" s="159"/>
      <c r="AM184" s="159"/>
      <c r="AN184" s="159"/>
    </row>
    <row r="185" spans="1:40" ht="12.75">
      <c r="A185" s="27"/>
      <c r="B185" s="63" t="s">
        <v>205</v>
      </c>
      <c r="C185" s="64">
        <f>C47-C48</f>
        <v>0</v>
      </c>
      <c r="D185" s="64">
        <f>D47-D48</f>
        <v>0</v>
      </c>
      <c r="E185" s="64">
        <f>E47-E48</f>
        <v>0</v>
      </c>
      <c r="F185" s="64">
        <f>F47-F48</f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27"/>
      <c r="AD185" s="27"/>
      <c r="AE185" s="27"/>
      <c r="AF185" s="159"/>
      <c r="AG185" s="159"/>
      <c r="AH185" s="159"/>
      <c r="AI185" s="159"/>
      <c r="AJ185" s="159"/>
      <c r="AK185" s="159"/>
      <c r="AL185" s="159"/>
      <c r="AM185" s="159"/>
      <c r="AN185" s="159"/>
    </row>
    <row r="186" spans="1:40" ht="24">
      <c r="A186" s="27"/>
      <c r="B186" s="76" t="s">
        <v>209</v>
      </c>
      <c r="C186" s="64">
        <f>C177*-1</f>
        <v>0</v>
      </c>
      <c r="D186" s="64">
        <f aca="true" t="shared" si="56" ref="D186:AB186">D177*-1</f>
        <v>0</v>
      </c>
      <c r="E186" s="64">
        <f t="shared" si="56"/>
        <v>600</v>
      </c>
      <c r="F186" s="64">
        <f t="shared" si="56"/>
        <v>1520</v>
      </c>
      <c r="G186" s="64">
        <f t="shared" si="56"/>
        <v>1520</v>
      </c>
      <c r="H186" s="64">
        <f t="shared" si="56"/>
        <v>1520</v>
      </c>
      <c r="I186" s="64">
        <f t="shared" si="56"/>
        <v>1520</v>
      </c>
      <c r="J186" s="64">
        <f t="shared" si="56"/>
        <v>1880</v>
      </c>
      <c r="K186" s="64">
        <f t="shared" si="56"/>
        <v>2000</v>
      </c>
      <c r="L186" s="64">
        <f t="shared" si="56"/>
        <v>2000</v>
      </c>
      <c r="M186" s="64">
        <f t="shared" si="56"/>
        <v>2000</v>
      </c>
      <c r="N186" s="64">
        <f t="shared" si="56"/>
        <v>2000</v>
      </c>
      <c r="O186" s="64">
        <f t="shared" si="56"/>
        <v>2000</v>
      </c>
      <c r="P186" s="64">
        <f t="shared" si="56"/>
        <v>2000</v>
      </c>
      <c r="Q186" s="64">
        <f t="shared" si="56"/>
        <v>2000</v>
      </c>
      <c r="R186" s="64">
        <f t="shared" si="56"/>
        <v>2000</v>
      </c>
      <c r="S186" s="64">
        <f t="shared" si="56"/>
        <v>2000</v>
      </c>
      <c r="T186" s="64">
        <f t="shared" si="56"/>
        <v>2000</v>
      </c>
      <c r="U186" s="64">
        <f t="shared" si="56"/>
        <v>2000</v>
      </c>
      <c r="V186" s="64">
        <f t="shared" si="56"/>
        <v>2000</v>
      </c>
      <c r="W186" s="64">
        <f t="shared" si="56"/>
        <v>2000</v>
      </c>
      <c r="X186" s="64">
        <f t="shared" si="56"/>
        <v>2000</v>
      </c>
      <c r="Y186" s="64">
        <f t="shared" si="56"/>
        <v>2000</v>
      </c>
      <c r="Z186" s="64">
        <f t="shared" si="56"/>
        <v>2000</v>
      </c>
      <c r="AA186" s="64">
        <f t="shared" si="56"/>
        <v>2000</v>
      </c>
      <c r="AB186" s="64">
        <f t="shared" si="56"/>
        <v>2000</v>
      </c>
      <c r="AC186" s="27"/>
      <c r="AD186" s="27"/>
      <c r="AE186" s="27"/>
      <c r="AF186" s="159"/>
      <c r="AG186" s="159"/>
      <c r="AH186" s="159"/>
      <c r="AI186" s="159"/>
      <c r="AJ186" s="159"/>
      <c r="AK186" s="159"/>
      <c r="AL186" s="159"/>
      <c r="AM186" s="159"/>
      <c r="AN186" s="159"/>
    </row>
    <row r="187" spans="1:40" ht="12.75">
      <c r="A187" s="27"/>
      <c r="B187" s="109" t="s">
        <v>91</v>
      </c>
      <c r="C187" s="124">
        <f>C177+C181+C183</f>
        <v>-217500.00000000012</v>
      </c>
      <c r="D187" s="124">
        <f>D177+D181+D183</f>
        <v>0</v>
      </c>
      <c r="E187" s="124">
        <f>E177+E181+E183</f>
        <v>0</v>
      </c>
      <c r="F187" s="124">
        <f>E189+F177+F181+F183</f>
        <v>0</v>
      </c>
      <c r="G187" s="124">
        <f aca="true" t="shared" si="57" ref="G187:R187">G177+G181+G183</f>
        <v>0</v>
      </c>
      <c r="H187" s="124">
        <f t="shared" si="57"/>
        <v>0</v>
      </c>
      <c r="I187" s="124">
        <f t="shared" si="57"/>
        <v>0</v>
      </c>
      <c r="J187" s="124">
        <f t="shared" si="57"/>
        <v>0</v>
      </c>
      <c r="K187" s="124">
        <f t="shared" si="57"/>
        <v>0</v>
      </c>
      <c r="L187" s="124">
        <f t="shared" si="57"/>
        <v>0</v>
      </c>
      <c r="M187" s="124">
        <f t="shared" si="57"/>
        <v>0</v>
      </c>
      <c r="N187" s="124">
        <f t="shared" si="57"/>
        <v>0</v>
      </c>
      <c r="O187" s="124">
        <f t="shared" si="57"/>
        <v>0</v>
      </c>
      <c r="P187" s="124">
        <f t="shared" si="57"/>
        <v>0</v>
      </c>
      <c r="Q187" s="124">
        <f t="shared" si="57"/>
        <v>0</v>
      </c>
      <c r="R187" s="124">
        <f t="shared" si="57"/>
        <v>0</v>
      </c>
      <c r="S187" s="124">
        <f aca="true" t="shared" si="58" ref="S187:AB187">S177+S181+S183</f>
        <v>0</v>
      </c>
      <c r="T187" s="124">
        <f t="shared" si="58"/>
        <v>0</v>
      </c>
      <c r="U187" s="124">
        <f t="shared" si="58"/>
        <v>0</v>
      </c>
      <c r="V187" s="124">
        <f t="shared" si="58"/>
        <v>0</v>
      </c>
      <c r="W187" s="124">
        <f t="shared" si="58"/>
        <v>0</v>
      </c>
      <c r="X187" s="124">
        <f t="shared" si="58"/>
        <v>0</v>
      </c>
      <c r="Y187" s="124">
        <f t="shared" si="58"/>
        <v>0</v>
      </c>
      <c r="Z187" s="124">
        <f t="shared" si="58"/>
        <v>0</v>
      </c>
      <c r="AA187" s="124">
        <f t="shared" si="58"/>
        <v>0</v>
      </c>
      <c r="AB187" s="124">
        <f t="shared" si="58"/>
        <v>0</v>
      </c>
      <c r="AC187" s="27"/>
      <c r="AD187" s="27"/>
      <c r="AE187" s="27"/>
      <c r="AF187" s="159"/>
      <c r="AG187" s="159"/>
      <c r="AH187" s="159"/>
      <c r="AI187" s="159"/>
      <c r="AJ187" s="159"/>
      <c r="AK187" s="159"/>
      <c r="AL187" s="159"/>
      <c r="AM187" s="159"/>
      <c r="AN187" s="159"/>
    </row>
    <row r="188" spans="1:40" ht="12.75">
      <c r="A188" s="27"/>
      <c r="B188" s="63" t="s">
        <v>92</v>
      </c>
      <c r="C188" s="64">
        <v>0</v>
      </c>
      <c r="D188" s="64">
        <v>0</v>
      </c>
      <c r="E188" s="64">
        <v>0</v>
      </c>
      <c r="F188" s="64">
        <f>E189</f>
        <v>0</v>
      </c>
      <c r="G188" s="64">
        <f aca="true" t="shared" si="59" ref="G188:R188">F189</f>
        <v>0</v>
      </c>
      <c r="H188" s="64">
        <f t="shared" si="59"/>
        <v>0</v>
      </c>
      <c r="I188" s="64">
        <f t="shared" si="59"/>
        <v>0</v>
      </c>
      <c r="J188" s="64">
        <f t="shared" si="59"/>
        <v>0</v>
      </c>
      <c r="K188" s="64">
        <f t="shared" si="59"/>
        <v>0</v>
      </c>
      <c r="L188" s="64">
        <f t="shared" si="59"/>
        <v>0</v>
      </c>
      <c r="M188" s="64">
        <f t="shared" si="59"/>
        <v>0</v>
      </c>
      <c r="N188" s="64">
        <f t="shared" si="59"/>
        <v>0</v>
      </c>
      <c r="O188" s="64">
        <f t="shared" si="59"/>
        <v>0</v>
      </c>
      <c r="P188" s="64">
        <f t="shared" si="59"/>
        <v>0</v>
      </c>
      <c r="Q188" s="64">
        <f t="shared" si="59"/>
        <v>0</v>
      </c>
      <c r="R188" s="64">
        <f t="shared" si="59"/>
        <v>0</v>
      </c>
      <c r="S188" s="64">
        <f aca="true" t="shared" si="60" ref="S188:AB188">R189</f>
        <v>0</v>
      </c>
      <c r="T188" s="64">
        <f t="shared" si="60"/>
        <v>0</v>
      </c>
      <c r="U188" s="64">
        <f t="shared" si="60"/>
        <v>0</v>
      </c>
      <c r="V188" s="64">
        <f t="shared" si="60"/>
        <v>0</v>
      </c>
      <c r="W188" s="64">
        <f t="shared" si="60"/>
        <v>0</v>
      </c>
      <c r="X188" s="64">
        <f t="shared" si="60"/>
        <v>0</v>
      </c>
      <c r="Y188" s="64">
        <f t="shared" si="60"/>
        <v>0</v>
      </c>
      <c r="Z188" s="64">
        <f t="shared" si="60"/>
        <v>0</v>
      </c>
      <c r="AA188" s="64">
        <f t="shared" si="60"/>
        <v>0</v>
      </c>
      <c r="AB188" s="64">
        <f t="shared" si="60"/>
        <v>0</v>
      </c>
      <c r="AC188" s="27"/>
      <c r="AD188" s="27"/>
      <c r="AE188" s="27"/>
      <c r="AF188" s="159"/>
      <c r="AG188" s="159"/>
      <c r="AH188" s="159"/>
      <c r="AI188" s="159"/>
      <c r="AJ188" s="159"/>
      <c r="AK188" s="159"/>
      <c r="AL188" s="159"/>
      <c r="AM188" s="159"/>
      <c r="AN188" s="159"/>
    </row>
    <row r="189" spans="1:40" ht="12.75">
      <c r="A189" s="27"/>
      <c r="B189" s="178" t="s">
        <v>93</v>
      </c>
      <c r="C189" s="138">
        <f>C188+C187</f>
        <v>-217500.00000000012</v>
      </c>
      <c r="D189" s="138">
        <f>D188+D187</f>
        <v>0</v>
      </c>
      <c r="E189" s="138">
        <f>E188+E187</f>
        <v>0</v>
      </c>
      <c r="F189" s="138">
        <f aca="true" t="shared" si="61" ref="F189:R189">F188+F187</f>
        <v>0</v>
      </c>
      <c r="G189" s="138">
        <f t="shared" si="61"/>
        <v>0</v>
      </c>
      <c r="H189" s="138">
        <f t="shared" si="61"/>
        <v>0</v>
      </c>
      <c r="I189" s="138">
        <f t="shared" si="61"/>
        <v>0</v>
      </c>
      <c r="J189" s="138">
        <f t="shared" si="61"/>
        <v>0</v>
      </c>
      <c r="K189" s="138">
        <f t="shared" si="61"/>
        <v>0</v>
      </c>
      <c r="L189" s="138">
        <f t="shared" si="61"/>
        <v>0</v>
      </c>
      <c r="M189" s="138">
        <f t="shared" si="61"/>
        <v>0</v>
      </c>
      <c r="N189" s="138">
        <f t="shared" si="61"/>
        <v>0</v>
      </c>
      <c r="O189" s="138">
        <f t="shared" si="61"/>
        <v>0</v>
      </c>
      <c r="P189" s="138">
        <f t="shared" si="61"/>
        <v>0</v>
      </c>
      <c r="Q189" s="138">
        <f t="shared" si="61"/>
        <v>0</v>
      </c>
      <c r="R189" s="138">
        <f t="shared" si="61"/>
        <v>0</v>
      </c>
      <c r="S189" s="138">
        <f aca="true" t="shared" si="62" ref="S189:AB189">S188+S187</f>
        <v>0</v>
      </c>
      <c r="T189" s="138">
        <f t="shared" si="62"/>
        <v>0</v>
      </c>
      <c r="U189" s="138">
        <f t="shared" si="62"/>
        <v>0</v>
      </c>
      <c r="V189" s="138">
        <f t="shared" si="62"/>
        <v>0</v>
      </c>
      <c r="W189" s="138">
        <f t="shared" si="62"/>
        <v>0</v>
      </c>
      <c r="X189" s="138">
        <f t="shared" si="62"/>
        <v>0</v>
      </c>
      <c r="Y189" s="138">
        <f t="shared" si="62"/>
        <v>0</v>
      </c>
      <c r="Z189" s="138">
        <f t="shared" si="62"/>
        <v>0</v>
      </c>
      <c r="AA189" s="138">
        <f t="shared" si="62"/>
        <v>0</v>
      </c>
      <c r="AB189" s="138">
        <f t="shared" si="62"/>
        <v>0</v>
      </c>
      <c r="AC189" s="27"/>
      <c r="AD189" s="27"/>
      <c r="AE189" s="27"/>
      <c r="AF189" s="159"/>
      <c r="AG189" s="159"/>
      <c r="AH189" s="159"/>
      <c r="AI189" s="159"/>
      <c r="AJ189" s="159"/>
      <c r="AK189" s="159"/>
      <c r="AL189" s="159"/>
      <c r="AM189" s="159"/>
      <c r="AN189" s="159"/>
    </row>
    <row r="190" spans="1:40" ht="12.75">
      <c r="A190" s="27"/>
      <c r="B190" s="27"/>
      <c r="C190" s="27"/>
      <c r="D190" s="27"/>
      <c r="E190" s="27"/>
      <c r="F190" s="27"/>
      <c r="G190" s="9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</row>
    <row r="191" spans="1:40" ht="12.75">
      <c r="A191" s="27"/>
      <c r="B191" s="27"/>
      <c r="C191" s="9"/>
      <c r="D191" s="27"/>
      <c r="E191" s="27"/>
      <c r="F191" s="9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</row>
    <row r="192" spans="1: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</row>
    <row r="193" spans="1: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</row>
    <row r="194" spans="1:40" ht="12.75">
      <c r="A194" s="27"/>
      <c r="B194" s="123" t="s">
        <v>94</v>
      </c>
      <c r="C194" s="139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1"/>
      <c r="AB194" s="27"/>
      <c r="AC194" s="27"/>
      <c r="AD194" s="27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</row>
    <row r="195" spans="1:40" ht="12.75">
      <c r="A195" s="27"/>
      <c r="B195" s="166" t="s">
        <v>25</v>
      </c>
      <c r="C195" s="142">
        <v>0</v>
      </c>
      <c r="D195" s="142">
        <v>1</v>
      </c>
      <c r="E195" s="142">
        <v>2</v>
      </c>
      <c r="F195" s="142">
        <v>3</v>
      </c>
      <c r="G195" s="142">
        <v>4</v>
      </c>
      <c r="H195" s="142">
        <v>5</v>
      </c>
      <c r="I195" s="142">
        <v>6</v>
      </c>
      <c r="J195" s="142">
        <v>7</v>
      </c>
      <c r="K195" s="142">
        <v>8</v>
      </c>
      <c r="L195" s="142">
        <v>9</v>
      </c>
      <c r="M195" s="142">
        <v>10</v>
      </c>
      <c r="N195" s="142">
        <v>11</v>
      </c>
      <c r="O195" s="142">
        <v>12</v>
      </c>
      <c r="P195" s="142">
        <v>13</v>
      </c>
      <c r="Q195" s="153">
        <v>14</v>
      </c>
      <c r="R195" s="142">
        <v>15</v>
      </c>
      <c r="S195" s="142">
        <v>16</v>
      </c>
      <c r="T195" s="142">
        <v>17</v>
      </c>
      <c r="U195" s="142">
        <v>18</v>
      </c>
      <c r="V195" s="142">
        <v>19</v>
      </c>
      <c r="W195" s="142">
        <v>20</v>
      </c>
      <c r="X195" s="142">
        <v>21</v>
      </c>
      <c r="Y195" s="142">
        <v>22</v>
      </c>
      <c r="Z195" s="142">
        <v>23</v>
      </c>
      <c r="AA195" s="153">
        <v>24</v>
      </c>
      <c r="AB195" s="27"/>
      <c r="AC195" s="27"/>
      <c r="AD195" s="27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</row>
    <row r="196" spans="1:40" ht="12.75">
      <c r="A196" s="27"/>
      <c r="B196" s="178" t="s">
        <v>26</v>
      </c>
      <c r="C196" s="184" t="s">
        <v>3</v>
      </c>
      <c r="D196" s="184" t="s">
        <v>4</v>
      </c>
      <c r="E196" s="184" t="s">
        <v>5</v>
      </c>
      <c r="F196" s="184" t="s">
        <v>6</v>
      </c>
      <c r="G196" s="184" t="s">
        <v>50</v>
      </c>
      <c r="H196" s="184" t="s">
        <v>110</v>
      </c>
      <c r="I196" s="184" t="s">
        <v>111</v>
      </c>
      <c r="J196" s="184" t="s">
        <v>112</v>
      </c>
      <c r="K196" s="184" t="s">
        <v>113</v>
      </c>
      <c r="L196" s="184" t="s">
        <v>114</v>
      </c>
      <c r="M196" s="184" t="s">
        <v>115</v>
      </c>
      <c r="N196" s="184" t="s">
        <v>116</v>
      </c>
      <c r="O196" s="184" t="s">
        <v>168</v>
      </c>
      <c r="P196" s="184" t="s">
        <v>169</v>
      </c>
      <c r="Q196" s="184" t="s">
        <v>170</v>
      </c>
      <c r="R196" s="184" t="s">
        <v>171</v>
      </c>
      <c r="S196" s="184" t="s">
        <v>172</v>
      </c>
      <c r="T196" s="184" t="s">
        <v>173</v>
      </c>
      <c r="U196" s="184" t="s">
        <v>174</v>
      </c>
      <c r="V196" s="184" t="s">
        <v>175</v>
      </c>
      <c r="W196" s="184" t="s">
        <v>176</v>
      </c>
      <c r="X196" s="184" t="s">
        <v>177</v>
      </c>
      <c r="Y196" s="184" t="s">
        <v>178</v>
      </c>
      <c r="Z196" s="184" t="s">
        <v>179</v>
      </c>
      <c r="AA196" s="184" t="s">
        <v>235</v>
      </c>
      <c r="AB196" s="27"/>
      <c r="AC196" s="27"/>
      <c r="AD196" s="27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</row>
    <row r="197" spans="1:40" ht="12.75">
      <c r="A197" s="27"/>
      <c r="B197" s="172" t="s">
        <v>105</v>
      </c>
      <c r="C197" s="185">
        <f>D178</f>
        <v>0</v>
      </c>
      <c r="D197" s="185">
        <f aca="true" t="shared" si="63" ref="D197:AA197">E178</f>
        <v>0</v>
      </c>
      <c r="E197" s="185">
        <f t="shared" si="63"/>
        <v>0</v>
      </c>
      <c r="F197" s="185">
        <f t="shared" si="63"/>
        <v>0</v>
      </c>
      <c r="G197" s="185">
        <f t="shared" si="63"/>
        <v>0</v>
      </c>
      <c r="H197" s="185">
        <f t="shared" si="63"/>
        <v>0</v>
      </c>
      <c r="I197" s="185">
        <f t="shared" si="63"/>
        <v>0</v>
      </c>
      <c r="J197" s="185">
        <f t="shared" si="63"/>
        <v>0</v>
      </c>
      <c r="K197" s="185">
        <f t="shared" si="63"/>
        <v>0</v>
      </c>
      <c r="L197" s="185">
        <f t="shared" si="63"/>
        <v>0</v>
      </c>
      <c r="M197" s="185">
        <f t="shared" si="63"/>
        <v>0</v>
      </c>
      <c r="N197" s="185">
        <f t="shared" si="63"/>
        <v>0</v>
      </c>
      <c r="O197" s="185">
        <f t="shared" si="63"/>
        <v>0</v>
      </c>
      <c r="P197" s="185">
        <f t="shared" si="63"/>
        <v>0</v>
      </c>
      <c r="Q197" s="185">
        <f t="shared" si="63"/>
        <v>0</v>
      </c>
      <c r="R197" s="185">
        <f t="shared" si="63"/>
        <v>0</v>
      </c>
      <c r="S197" s="185">
        <f t="shared" si="63"/>
        <v>0</v>
      </c>
      <c r="T197" s="185">
        <f t="shared" si="63"/>
        <v>0</v>
      </c>
      <c r="U197" s="185">
        <f t="shared" si="63"/>
        <v>0</v>
      </c>
      <c r="V197" s="185">
        <f t="shared" si="63"/>
        <v>0</v>
      </c>
      <c r="W197" s="185">
        <f t="shared" si="63"/>
        <v>0</v>
      </c>
      <c r="X197" s="185">
        <f t="shared" si="63"/>
        <v>0</v>
      </c>
      <c r="Y197" s="185">
        <f t="shared" si="63"/>
        <v>0</v>
      </c>
      <c r="Z197" s="185">
        <f t="shared" si="63"/>
        <v>0</v>
      </c>
      <c r="AA197" s="185">
        <f t="shared" si="63"/>
        <v>0</v>
      </c>
      <c r="AB197" s="27"/>
      <c r="AC197" s="27"/>
      <c r="AD197" s="27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</row>
    <row r="198" spans="1:40" ht="12.75">
      <c r="A198" s="27"/>
      <c r="B198" s="172" t="s">
        <v>12</v>
      </c>
      <c r="C198" s="186">
        <f>D179*$E$227</f>
        <v>0</v>
      </c>
      <c r="D198" s="186">
        <f aca="true" t="shared" si="64" ref="D198:AA198">E179*$E$227</f>
        <v>-600</v>
      </c>
      <c r="E198" s="186">
        <f t="shared" si="64"/>
        <v>-1520</v>
      </c>
      <c r="F198" s="186">
        <f t="shared" si="64"/>
        <v>-1520</v>
      </c>
      <c r="G198" s="186">
        <f t="shared" si="64"/>
        <v>-1520</v>
      </c>
      <c r="H198" s="186">
        <f t="shared" si="64"/>
        <v>-1520</v>
      </c>
      <c r="I198" s="186">
        <f t="shared" si="64"/>
        <v>-1880</v>
      </c>
      <c r="J198" s="186">
        <f t="shared" si="64"/>
        <v>-2000</v>
      </c>
      <c r="K198" s="186">
        <f t="shared" si="64"/>
        <v>-2000</v>
      </c>
      <c r="L198" s="186">
        <f t="shared" si="64"/>
        <v>-2000</v>
      </c>
      <c r="M198" s="186">
        <f t="shared" si="64"/>
        <v>-2000</v>
      </c>
      <c r="N198" s="186">
        <f t="shared" si="64"/>
        <v>-2000</v>
      </c>
      <c r="O198" s="186">
        <f t="shared" si="64"/>
        <v>-2000</v>
      </c>
      <c r="P198" s="186">
        <f t="shared" si="64"/>
        <v>-2000</v>
      </c>
      <c r="Q198" s="186">
        <f t="shared" si="64"/>
        <v>-2000</v>
      </c>
      <c r="R198" s="186">
        <f t="shared" si="64"/>
        <v>-2000</v>
      </c>
      <c r="S198" s="186">
        <f t="shared" si="64"/>
        <v>-2000</v>
      </c>
      <c r="T198" s="186">
        <f t="shared" si="64"/>
        <v>-2000</v>
      </c>
      <c r="U198" s="186">
        <f t="shared" si="64"/>
        <v>-2000</v>
      </c>
      <c r="V198" s="186">
        <f t="shared" si="64"/>
        <v>-2000</v>
      </c>
      <c r="W198" s="186">
        <f t="shared" si="64"/>
        <v>-2000</v>
      </c>
      <c r="X198" s="186">
        <f t="shared" si="64"/>
        <v>-2000</v>
      </c>
      <c r="Y198" s="186">
        <f t="shared" si="64"/>
        <v>-2000</v>
      </c>
      <c r="Z198" s="186">
        <f t="shared" si="64"/>
        <v>-2000</v>
      </c>
      <c r="AA198" s="186">
        <f t="shared" si="64"/>
        <v>-2000</v>
      </c>
      <c r="AB198" s="27"/>
      <c r="AC198" s="27"/>
      <c r="AD198" s="27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</row>
    <row r="199" spans="1:40" ht="12.75">
      <c r="A199" s="27"/>
      <c r="B199" s="172" t="s">
        <v>95</v>
      </c>
      <c r="C199" s="186">
        <f>D180</f>
        <v>0</v>
      </c>
      <c r="D199" s="186">
        <f aca="true" t="shared" si="65" ref="D199:AA199">E180</f>
        <v>0</v>
      </c>
      <c r="E199" s="186">
        <f t="shared" si="65"/>
        <v>0</v>
      </c>
      <c r="F199" s="186">
        <f t="shared" si="65"/>
        <v>0</v>
      </c>
      <c r="G199" s="186">
        <f t="shared" si="65"/>
        <v>0</v>
      </c>
      <c r="H199" s="186">
        <f t="shared" si="65"/>
        <v>0</v>
      </c>
      <c r="I199" s="186">
        <f t="shared" si="65"/>
        <v>0</v>
      </c>
      <c r="J199" s="186">
        <f t="shared" si="65"/>
        <v>0</v>
      </c>
      <c r="K199" s="186">
        <f t="shared" si="65"/>
        <v>0</v>
      </c>
      <c r="L199" s="186">
        <f t="shared" si="65"/>
        <v>0</v>
      </c>
      <c r="M199" s="186">
        <f t="shared" si="65"/>
        <v>0</v>
      </c>
      <c r="N199" s="186">
        <f t="shared" si="65"/>
        <v>0</v>
      </c>
      <c r="O199" s="186">
        <f t="shared" si="65"/>
        <v>0</v>
      </c>
      <c r="P199" s="186">
        <f t="shared" si="65"/>
        <v>0</v>
      </c>
      <c r="Q199" s="186">
        <f t="shared" si="65"/>
        <v>0</v>
      </c>
      <c r="R199" s="186">
        <f t="shared" si="65"/>
        <v>0</v>
      </c>
      <c r="S199" s="186">
        <f t="shared" si="65"/>
        <v>0</v>
      </c>
      <c r="T199" s="186">
        <f t="shared" si="65"/>
        <v>0</v>
      </c>
      <c r="U199" s="186">
        <f t="shared" si="65"/>
        <v>0</v>
      </c>
      <c r="V199" s="186">
        <f t="shared" si="65"/>
        <v>0</v>
      </c>
      <c r="W199" s="186">
        <f t="shared" si="65"/>
        <v>0</v>
      </c>
      <c r="X199" s="186">
        <f t="shared" si="65"/>
        <v>0</v>
      </c>
      <c r="Y199" s="186">
        <f t="shared" si="65"/>
        <v>0</v>
      </c>
      <c r="Z199" s="186">
        <f t="shared" si="65"/>
        <v>0</v>
      </c>
      <c r="AA199" s="186">
        <f t="shared" si="65"/>
        <v>0</v>
      </c>
      <c r="AB199" s="27"/>
      <c r="AC199" s="27"/>
      <c r="AD199" s="27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</row>
    <row r="200" spans="1:40" ht="12.75">
      <c r="A200" s="27"/>
      <c r="B200" s="172" t="s">
        <v>29</v>
      </c>
      <c r="C200" s="186">
        <f>(C182+D182)*$E$226</f>
        <v>-1041425.4300000002</v>
      </c>
      <c r="D200" s="186">
        <f>E182*$E$226</f>
        <v>0</v>
      </c>
      <c r="E200" s="186">
        <v>0</v>
      </c>
      <c r="F200" s="186">
        <v>0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86">
        <v>0</v>
      </c>
      <c r="Q200" s="186">
        <v>0</v>
      </c>
      <c r="R200" s="186">
        <v>0</v>
      </c>
      <c r="S200" s="186">
        <v>0</v>
      </c>
      <c r="T200" s="186">
        <v>0</v>
      </c>
      <c r="U200" s="186">
        <v>0</v>
      </c>
      <c r="V200" s="186">
        <v>0</v>
      </c>
      <c r="W200" s="186">
        <v>0</v>
      </c>
      <c r="X200" s="186">
        <v>0</v>
      </c>
      <c r="Y200" s="186">
        <v>0</v>
      </c>
      <c r="Z200" s="186">
        <v>0</v>
      </c>
      <c r="AA200" s="186">
        <v>0</v>
      </c>
      <c r="AB200" s="27"/>
      <c r="AC200" s="27"/>
      <c r="AD200" s="27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</row>
    <row r="201" spans="1:40" ht="12.75">
      <c r="A201" s="27"/>
      <c r="B201" s="182" t="s">
        <v>96</v>
      </c>
      <c r="C201" s="143">
        <f aca="true" t="shared" si="66" ref="C201:Q201">SUM(C197:C200)</f>
        <v>-1041425.4300000002</v>
      </c>
      <c r="D201" s="143">
        <f t="shared" si="66"/>
        <v>-600</v>
      </c>
      <c r="E201" s="143">
        <f t="shared" si="66"/>
        <v>-1520</v>
      </c>
      <c r="F201" s="143">
        <f t="shared" si="66"/>
        <v>-1520</v>
      </c>
      <c r="G201" s="143">
        <f t="shared" si="66"/>
        <v>-1520</v>
      </c>
      <c r="H201" s="143">
        <f t="shared" si="66"/>
        <v>-1520</v>
      </c>
      <c r="I201" s="143">
        <f t="shared" si="66"/>
        <v>-1880</v>
      </c>
      <c r="J201" s="143">
        <f t="shared" si="66"/>
        <v>-2000</v>
      </c>
      <c r="K201" s="143">
        <f t="shared" si="66"/>
        <v>-2000</v>
      </c>
      <c r="L201" s="143">
        <f t="shared" si="66"/>
        <v>-2000</v>
      </c>
      <c r="M201" s="143">
        <f t="shared" si="66"/>
        <v>-2000</v>
      </c>
      <c r="N201" s="143">
        <f t="shared" si="66"/>
        <v>-2000</v>
      </c>
      <c r="O201" s="143">
        <f t="shared" si="66"/>
        <v>-2000</v>
      </c>
      <c r="P201" s="143">
        <f t="shared" si="66"/>
        <v>-2000</v>
      </c>
      <c r="Q201" s="154">
        <f t="shared" si="66"/>
        <v>-2000</v>
      </c>
      <c r="R201" s="143">
        <f aca="true" t="shared" si="67" ref="R201:AA201">SUM(R197:R200)</f>
        <v>-2000</v>
      </c>
      <c r="S201" s="143">
        <f t="shared" si="67"/>
        <v>-2000</v>
      </c>
      <c r="T201" s="143">
        <f t="shared" si="67"/>
        <v>-2000</v>
      </c>
      <c r="U201" s="143">
        <f t="shared" si="67"/>
        <v>-2000</v>
      </c>
      <c r="V201" s="143">
        <f t="shared" si="67"/>
        <v>-2000</v>
      </c>
      <c r="W201" s="143">
        <f t="shared" si="67"/>
        <v>-2000</v>
      </c>
      <c r="X201" s="143">
        <f t="shared" si="67"/>
        <v>-2000</v>
      </c>
      <c r="Y201" s="143">
        <f t="shared" si="67"/>
        <v>-2000</v>
      </c>
      <c r="Z201" s="143">
        <f t="shared" si="67"/>
        <v>-2000</v>
      </c>
      <c r="AA201" s="154">
        <f t="shared" si="67"/>
        <v>-2000</v>
      </c>
      <c r="AB201" s="27"/>
      <c r="AC201" s="27"/>
      <c r="AD201" s="27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</row>
    <row r="202" spans="1:40" ht="12.75">
      <c r="A202" s="27"/>
      <c r="B202" s="166" t="s">
        <v>117</v>
      </c>
      <c r="C202" s="144">
        <f>1/POWER(1.04,C195)</f>
        <v>1</v>
      </c>
      <c r="D202" s="144">
        <f aca="true" t="shared" si="68" ref="D202:Q202">1/POWER(1.04,D195)</f>
        <v>0.9615384615384615</v>
      </c>
      <c r="E202" s="144">
        <f t="shared" si="68"/>
        <v>0.9245562130177514</v>
      </c>
      <c r="F202" s="144">
        <f t="shared" si="68"/>
        <v>0.8889963586709149</v>
      </c>
      <c r="G202" s="144">
        <f t="shared" si="68"/>
        <v>0.8548041910297257</v>
      </c>
      <c r="H202" s="144">
        <f t="shared" si="68"/>
        <v>0.8219271067593515</v>
      </c>
      <c r="I202" s="144">
        <f t="shared" si="68"/>
        <v>0.7903145257301457</v>
      </c>
      <c r="J202" s="144">
        <f t="shared" si="68"/>
        <v>0.7599178132020633</v>
      </c>
      <c r="K202" s="144">
        <f t="shared" si="68"/>
        <v>0.7306902050019838</v>
      </c>
      <c r="L202" s="144">
        <f t="shared" si="68"/>
        <v>0.7025867355788304</v>
      </c>
      <c r="M202" s="144">
        <f t="shared" si="68"/>
        <v>0.6755641688257985</v>
      </c>
      <c r="N202" s="144">
        <f t="shared" si="68"/>
        <v>0.6495809315632679</v>
      </c>
      <c r="O202" s="144">
        <f t="shared" si="68"/>
        <v>0.6245970495800651</v>
      </c>
      <c r="P202" s="144">
        <f t="shared" si="68"/>
        <v>0.600574086134678</v>
      </c>
      <c r="Q202" s="155">
        <f t="shared" si="68"/>
        <v>0.5774750828218058</v>
      </c>
      <c r="R202" s="144">
        <f aca="true" t="shared" si="69" ref="R202:AA202">1/POWER(1.04,R195)</f>
        <v>0.5552645027132748</v>
      </c>
      <c r="S202" s="144">
        <f t="shared" si="69"/>
        <v>0.533908175685841</v>
      </c>
      <c r="T202" s="144">
        <f t="shared" si="69"/>
        <v>0.5133732458517702</v>
      </c>
      <c r="U202" s="144">
        <f t="shared" si="69"/>
        <v>0.4936281210113175</v>
      </c>
      <c r="V202" s="144">
        <f t="shared" si="69"/>
        <v>0.47464242404934376</v>
      </c>
      <c r="W202" s="144">
        <f t="shared" si="69"/>
        <v>0.45638694620129205</v>
      </c>
      <c r="X202" s="144">
        <f t="shared" si="69"/>
        <v>0.43883360211662686</v>
      </c>
      <c r="Y202" s="144">
        <f t="shared" si="69"/>
        <v>0.4219553866506028</v>
      </c>
      <c r="Z202" s="144">
        <f t="shared" si="69"/>
        <v>0.4057263333178873</v>
      </c>
      <c r="AA202" s="155">
        <f t="shared" si="69"/>
        <v>0.3901214743441224</v>
      </c>
      <c r="AB202" s="27"/>
      <c r="AC202" s="27"/>
      <c r="AD202" s="27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</row>
    <row r="203" spans="1:40" ht="12.75">
      <c r="A203" s="27"/>
      <c r="B203" s="187" t="s">
        <v>97</v>
      </c>
      <c r="C203" s="138">
        <f aca="true" t="shared" si="70" ref="C203:Q203">C202*C201</f>
        <v>-1041425.4300000002</v>
      </c>
      <c r="D203" s="138">
        <f t="shared" si="70"/>
        <v>-576.9230769230769</v>
      </c>
      <c r="E203" s="138">
        <f t="shared" si="70"/>
        <v>-1405.325443786982</v>
      </c>
      <c r="F203" s="138">
        <f t="shared" si="70"/>
        <v>-1351.2744651797907</v>
      </c>
      <c r="G203" s="138">
        <f t="shared" si="70"/>
        <v>-1299.3023703651832</v>
      </c>
      <c r="H203" s="138">
        <f t="shared" si="70"/>
        <v>-1249.3292022742144</v>
      </c>
      <c r="I203" s="138">
        <f t="shared" si="70"/>
        <v>-1485.791308372674</v>
      </c>
      <c r="J203" s="138">
        <f t="shared" si="70"/>
        <v>-1519.8356264041265</v>
      </c>
      <c r="K203" s="138">
        <f t="shared" si="70"/>
        <v>-1461.3804100039677</v>
      </c>
      <c r="L203" s="138">
        <f t="shared" si="70"/>
        <v>-1405.173471157661</v>
      </c>
      <c r="M203" s="138">
        <f t="shared" si="70"/>
        <v>-1351.1283376515971</v>
      </c>
      <c r="N203" s="138">
        <f t="shared" si="70"/>
        <v>-1299.1618631265358</v>
      </c>
      <c r="O203" s="138">
        <f t="shared" si="70"/>
        <v>-1249.1940991601302</v>
      </c>
      <c r="P203" s="138">
        <f t="shared" si="70"/>
        <v>-1201.148172269356</v>
      </c>
      <c r="Q203" s="89">
        <f t="shared" si="70"/>
        <v>-1154.9501656436116</v>
      </c>
      <c r="R203" s="138">
        <f aca="true" t="shared" si="71" ref="R203:AA203">R202*R201</f>
        <v>-1110.5290054265495</v>
      </c>
      <c r="S203" s="138">
        <f t="shared" si="71"/>
        <v>-1067.816351371682</v>
      </c>
      <c r="T203" s="138">
        <f t="shared" si="71"/>
        <v>-1026.7464917035404</v>
      </c>
      <c r="U203" s="138">
        <f t="shared" si="71"/>
        <v>-987.256242022635</v>
      </c>
      <c r="V203" s="138">
        <f t="shared" si="71"/>
        <v>-949.2848480986875</v>
      </c>
      <c r="W203" s="138">
        <f t="shared" si="71"/>
        <v>-912.7738924025841</v>
      </c>
      <c r="X203" s="138">
        <f t="shared" si="71"/>
        <v>-877.6672042332538</v>
      </c>
      <c r="Y203" s="138">
        <f t="shared" si="71"/>
        <v>-843.9107733012056</v>
      </c>
      <c r="Z203" s="138">
        <f t="shared" si="71"/>
        <v>-811.4526666357747</v>
      </c>
      <c r="AA203" s="89">
        <f t="shared" si="71"/>
        <v>-780.2429486882448</v>
      </c>
      <c r="AB203" s="27"/>
      <c r="AC203" s="27"/>
      <c r="AD203" s="27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</row>
    <row r="204" spans="1:40" ht="12.75">
      <c r="A204" s="27"/>
      <c r="B204" s="176" t="s">
        <v>98</v>
      </c>
      <c r="C204" s="188">
        <f>SUM(C203:AA203)</f>
        <v>-1068803.028436203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7"/>
      <c r="N204" s="108"/>
      <c r="O204" s="108"/>
      <c r="P204" s="108"/>
      <c r="Q204" s="108"/>
      <c r="R204" s="108"/>
      <c r="S204" s="45"/>
      <c r="T204" s="45"/>
      <c r="U204" s="45"/>
      <c r="V204" s="27"/>
      <c r="W204" s="27"/>
      <c r="X204" s="27"/>
      <c r="Y204" s="27"/>
      <c r="Z204" s="27"/>
      <c r="AA204" s="27"/>
      <c r="AB204" s="27"/>
      <c r="AC204" s="27"/>
      <c r="AD204" s="27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</row>
    <row r="205" spans="1:40" ht="12.75">
      <c r="A205" s="27"/>
      <c r="B205" s="178" t="s">
        <v>99</v>
      </c>
      <c r="C205" s="189" t="e">
        <f>IRR(C201:AA201)</f>
        <v>#NUM!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7"/>
      <c r="N205" s="108"/>
      <c r="O205" s="108"/>
      <c r="P205" s="108"/>
      <c r="Q205" s="108"/>
      <c r="R205" s="108"/>
      <c r="S205" s="45"/>
      <c r="T205" s="45"/>
      <c r="U205" s="45"/>
      <c r="V205" s="27"/>
      <c r="W205" s="27"/>
      <c r="X205" s="27"/>
      <c r="Y205" s="27"/>
      <c r="Z205" s="27"/>
      <c r="AA205" s="27"/>
      <c r="AB205" s="27"/>
      <c r="AC205" s="27"/>
      <c r="AD205" s="27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</row>
    <row r="206" spans="1:40" ht="12.75">
      <c r="A206" s="27"/>
      <c r="B206" s="73"/>
      <c r="C206" s="73"/>
      <c r="D206" s="105"/>
      <c r="E206" s="106"/>
      <c r="F206" s="107"/>
      <c r="G206" s="108"/>
      <c r="H206" s="108"/>
      <c r="I206" s="108"/>
      <c r="J206" s="108"/>
      <c r="K206" s="108"/>
      <c r="L206" s="108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27"/>
      <c r="Z206" s="27"/>
      <c r="AA206" s="27"/>
      <c r="AB206" s="27"/>
      <c r="AC206" s="27"/>
      <c r="AD206" s="27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</row>
    <row r="207" spans="1: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</row>
    <row r="208" spans="1:40" ht="12.75">
      <c r="A208" s="27"/>
      <c r="B208" s="123" t="s">
        <v>94</v>
      </c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1"/>
      <c r="AB208" s="27"/>
      <c r="AC208" s="27"/>
      <c r="AD208" s="27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</row>
    <row r="209" spans="1:40" ht="12.75">
      <c r="A209" s="27"/>
      <c r="B209" s="166" t="s">
        <v>25</v>
      </c>
      <c r="C209" s="142">
        <v>0</v>
      </c>
      <c r="D209" s="142">
        <v>1</v>
      </c>
      <c r="E209" s="142">
        <v>2</v>
      </c>
      <c r="F209" s="142">
        <v>3</v>
      </c>
      <c r="G209" s="142">
        <v>4</v>
      </c>
      <c r="H209" s="142">
        <v>5</v>
      </c>
      <c r="I209" s="142">
        <v>6</v>
      </c>
      <c r="J209" s="142">
        <v>7</v>
      </c>
      <c r="K209" s="142">
        <v>8</v>
      </c>
      <c r="L209" s="142">
        <v>9</v>
      </c>
      <c r="M209" s="142">
        <v>10</v>
      </c>
      <c r="N209" s="142">
        <v>11</v>
      </c>
      <c r="O209" s="142">
        <v>12</v>
      </c>
      <c r="P209" s="142">
        <v>13</v>
      </c>
      <c r="Q209" s="153">
        <v>14</v>
      </c>
      <c r="R209" s="142">
        <v>15</v>
      </c>
      <c r="S209" s="142">
        <v>16</v>
      </c>
      <c r="T209" s="142">
        <v>17</v>
      </c>
      <c r="U209" s="142">
        <v>18</v>
      </c>
      <c r="V209" s="142">
        <v>19</v>
      </c>
      <c r="W209" s="142">
        <v>20</v>
      </c>
      <c r="X209" s="142">
        <v>21</v>
      </c>
      <c r="Y209" s="142">
        <v>22</v>
      </c>
      <c r="Z209" s="142">
        <v>23</v>
      </c>
      <c r="AA209" s="153">
        <v>24</v>
      </c>
      <c r="AB209" s="27"/>
      <c r="AC209" s="27"/>
      <c r="AD209" s="27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</row>
    <row r="210" spans="1:40" ht="12.75">
      <c r="A210" s="27"/>
      <c r="B210" s="178" t="s">
        <v>26</v>
      </c>
      <c r="C210" s="184" t="s">
        <v>3</v>
      </c>
      <c r="D210" s="184" t="s">
        <v>4</v>
      </c>
      <c r="E210" s="184" t="s">
        <v>5</v>
      </c>
      <c r="F210" s="184" t="s">
        <v>6</v>
      </c>
      <c r="G210" s="184" t="s">
        <v>50</v>
      </c>
      <c r="H210" s="184" t="s">
        <v>110</v>
      </c>
      <c r="I210" s="184" t="s">
        <v>111</v>
      </c>
      <c r="J210" s="184" t="s">
        <v>112</v>
      </c>
      <c r="K210" s="184" t="s">
        <v>113</v>
      </c>
      <c r="L210" s="184" t="s">
        <v>114</v>
      </c>
      <c r="M210" s="184" t="s">
        <v>115</v>
      </c>
      <c r="N210" s="184" t="s">
        <v>116</v>
      </c>
      <c r="O210" s="184" t="s">
        <v>168</v>
      </c>
      <c r="P210" s="184" t="s">
        <v>169</v>
      </c>
      <c r="Q210" s="184" t="s">
        <v>170</v>
      </c>
      <c r="R210" s="184" t="s">
        <v>171</v>
      </c>
      <c r="S210" s="184" t="s">
        <v>172</v>
      </c>
      <c r="T210" s="184" t="s">
        <v>173</v>
      </c>
      <c r="U210" s="184" t="s">
        <v>174</v>
      </c>
      <c r="V210" s="184" t="s">
        <v>175</v>
      </c>
      <c r="W210" s="184" t="s">
        <v>176</v>
      </c>
      <c r="X210" s="184" t="s">
        <v>177</v>
      </c>
      <c r="Y210" s="184" t="s">
        <v>178</v>
      </c>
      <c r="Z210" s="184" t="s">
        <v>179</v>
      </c>
      <c r="AA210" s="184" t="s">
        <v>235</v>
      </c>
      <c r="AB210" s="27"/>
      <c r="AC210" s="27"/>
      <c r="AD210" s="27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</row>
    <row r="211" spans="1:40" ht="12.75">
      <c r="A211" s="27"/>
      <c r="B211" s="172" t="s">
        <v>105</v>
      </c>
      <c r="C211" s="185">
        <f>C197</f>
        <v>0</v>
      </c>
      <c r="D211" s="185">
        <f aca="true" t="shared" si="72" ref="D211:AA211">D197</f>
        <v>0</v>
      </c>
      <c r="E211" s="185">
        <f t="shared" si="72"/>
        <v>0</v>
      </c>
      <c r="F211" s="185">
        <f t="shared" si="72"/>
        <v>0</v>
      </c>
      <c r="G211" s="185">
        <f t="shared" si="72"/>
        <v>0</v>
      </c>
      <c r="H211" s="185">
        <f t="shared" si="72"/>
        <v>0</v>
      </c>
      <c r="I211" s="185">
        <f t="shared" si="72"/>
        <v>0</v>
      </c>
      <c r="J211" s="185">
        <f t="shared" si="72"/>
        <v>0</v>
      </c>
      <c r="K211" s="185">
        <f t="shared" si="72"/>
        <v>0</v>
      </c>
      <c r="L211" s="185">
        <f t="shared" si="72"/>
        <v>0</v>
      </c>
      <c r="M211" s="185">
        <f t="shared" si="72"/>
        <v>0</v>
      </c>
      <c r="N211" s="185">
        <f t="shared" si="72"/>
        <v>0</v>
      </c>
      <c r="O211" s="185">
        <f t="shared" si="72"/>
        <v>0</v>
      </c>
      <c r="P211" s="185">
        <f t="shared" si="72"/>
        <v>0</v>
      </c>
      <c r="Q211" s="185">
        <f t="shared" si="72"/>
        <v>0</v>
      </c>
      <c r="R211" s="185">
        <f t="shared" si="72"/>
        <v>0</v>
      </c>
      <c r="S211" s="185">
        <f t="shared" si="72"/>
        <v>0</v>
      </c>
      <c r="T211" s="185">
        <f t="shared" si="72"/>
        <v>0</v>
      </c>
      <c r="U211" s="185">
        <f t="shared" si="72"/>
        <v>0</v>
      </c>
      <c r="V211" s="185">
        <f t="shared" si="72"/>
        <v>0</v>
      </c>
      <c r="W211" s="185">
        <f t="shared" si="72"/>
        <v>0</v>
      </c>
      <c r="X211" s="185">
        <f t="shared" si="72"/>
        <v>0</v>
      </c>
      <c r="Y211" s="185">
        <f t="shared" si="72"/>
        <v>0</v>
      </c>
      <c r="Z211" s="185">
        <f t="shared" si="72"/>
        <v>0</v>
      </c>
      <c r="AA211" s="185">
        <f t="shared" si="72"/>
        <v>0</v>
      </c>
      <c r="AB211" s="27"/>
      <c r="AC211" s="27"/>
      <c r="AD211" s="27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</row>
    <row r="212" spans="1:40" ht="12.75">
      <c r="A212" s="27"/>
      <c r="B212" s="172" t="s">
        <v>12</v>
      </c>
      <c r="C212" s="186">
        <f>C198</f>
        <v>0</v>
      </c>
      <c r="D212" s="186">
        <f aca="true" t="shared" si="73" ref="D212:AA212">D198</f>
        <v>-600</v>
      </c>
      <c r="E212" s="186">
        <f t="shared" si="73"/>
        <v>-1520</v>
      </c>
      <c r="F212" s="186">
        <f t="shared" si="73"/>
        <v>-1520</v>
      </c>
      <c r="G212" s="186">
        <f t="shared" si="73"/>
        <v>-1520</v>
      </c>
      <c r="H212" s="186">
        <f t="shared" si="73"/>
        <v>-1520</v>
      </c>
      <c r="I212" s="186">
        <f t="shared" si="73"/>
        <v>-1880</v>
      </c>
      <c r="J212" s="186">
        <f t="shared" si="73"/>
        <v>-2000</v>
      </c>
      <c r="K212" s="186">
        <f t="shared" si="73"/>
        <v>-2000</v>
      </c>
      <c r="L212" s="186">
        <f t="shared" si="73"/>
        <v>-2000</v>
      </c>
      <c r="M212" s="186">
        <f t="shared" si="73"/>
        <v>-2000</v>
      </c>
      <c r="N212" s="186">
        <f t="shared" si="73"/>
        <v>-2000</v>
      </c>
      <c r="O212" s="186">
        <f t="shared" si="73"/>
        <v>-2000</v>
      </c>
      <c r="P212" s="186">
        <f t="shared" si="73"/>
        <v>-2000</v>
      </c>
      <c r="Q212" s="186">
        <f t="shared" si="73"/>
        <v>-2000</v>
      </c>
      <c r="R212" s="186">
        <f t="shared" si="73"/>
        <v>-2000</v>
      </c>
      <c r="S212" s="186">
        <f t="shared" si="73"/>
        <v>-2000</v>
      </c>
      <c r="T212" s="186">
        <f t="shared" si="73"/>
        <v>-2000</v>
      </c>
      <c r="U212" s="186">
        <f t="shared" si="73"/>
        <v>-2000</v>
      </c>
      <c r="V212" s="186">
        <f t="shared" si="73"/>
        <v>-2000</v>
      </c>
      <c r="W212" s="186">
        <f t="shared" si="73"/>
        <v>-2000</v>
      </c>
      <c r="X212" s="186">
        <f t="shared" si="73"/>
        <v>-2000</v>
      </c>
      <c r="Y212" s="186">
        <f t="shared" si="73"/>
        <v>-2000</v>
      </c>
      <c r="Z212" s="186">
        <f t="shared" si="73"/>
        <v>-2000</v>
      </c>
      <c r="AA212" s="186">
        <f t="shared" si="73"/>
        <v>-2000</v>
      </c>
      <c r="AB212" s="27"/>
      <c r="AC212" s="27"/>
      <c r="AD212" s="27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</row>
    <row r="213" spans="1:40" ht="12.75">
      <c r="A213" s="27"/>
      <c r="B213" s="172" t="s">
        <v>95</v>
      </c>
      <c r="C213" s="186">
        <f>C199</f>
        <v>0</v>
      </c>
      <c r="D213" s="186">
        <f aca="true" t="shared" si="74" ref="D213:AA213">D199</f>
        <v>0</v>
      </c>
      <c r="E213" s="186">
        <f t="shared" si="74"/>
        <v>0</v>
      </c>
      <c r="F213" s="186">
        <f t="shared" si="74"/>
        <v>0</v>
      </c>
      <c r="G213" s="186">
        <f t="shared" si="74"/>
        <v>0</v>
      </c>
      <c r="H213" s="186">
        <f t="shared" si="74"/>
        <v>0</v>
      </c>
      <c r="I213" s="186">
        <f t="shared" si="74"/>
        <v>0</v>
      </c>
      <c r="J213" s="186">
        <f t="shared" si="74"/>
        <v>0</v>
      </c>
      <c r="K213" s="186">
        <f t="shared" si="74"/>
        <v>0</v>
      </c>
      <c r="L213" s="186">
        <f t="shared" si="74"/>
        <v>0</v>
      </c>
      <c r="M213" s="186">
        <f t="shared" si="74"/>
        <v>0</v>
      </c>
      <c r="N213" s="186">
        <f t="shared" si="74"/>
        <v>0</v>
      </c>
      <c r="O213" s="186">
        <f t="shared" si="74"/>
        <v>0</v>
      </c>
      <c r="P213" s="186">
        <f t="shared" si="74"/>
        <v>0</v>
      </c>
      <c r="Q213" s="186">
        <f t="shared" si="74"/>
        <v>0</v>
      </c>
      <c r="R213" s="186">
        <f t="shared" si="74"/>
        <v>0</v>
      </c>
      <c r="S213" s="186">
        <f t="shared" si="74"/>
        <v>0</v>
      </c>
      <c r="T213" s="186">
        <f t="shared" si="74"/>
        <v>0</v>
      </c>
      <c r="U213" s="186">
        <f t="shared" si="74"/>
        <v>0</v>
      </c>
      <c r="V213" s="186">
        <f t="shared" si="74"/>
        <v>0</v>
      </c>
      <c r="W213" s="186">
        <f t="shared" si="74"/>
        <v>0</v>
      </c>
      <c r="X213" s="186">
        <f t="shared" si="74"/>
        <v>0</v>
      </c>
      <c r="Y213" s="186">
        <f t="shared" si="74"/>
        <v>0</v>
      </c>
      <c r="Z213" s="186">
        <f t="shared" si="74"/>
        <v>0</v>
      </c>
      <c r="AA213" s="186">
        <f t="shared" si="74"/>
        <v>0</v>
      </c>
      <c r="AB213" s="27"/>
      <c r="AC213" s="27"/>
      <c r="AD213" s="27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</row>
    <row r="214" spans="1:40" ht="12.75">
      <c r="A214" s="27"/>
      <c r="B214" s="172" t="s">
        <v>207</v>
      </c>
      <c r="C214" s="186">
        <f>C200</f>
        <v>-1041425.4300000002</v>
      </c>
      <c r="D214" s="186">
        <f>D200</f>
        <v>0</v>
      </c>
      <c r="E214" s="186">
        <v>0</v>
      </c>
      <c r="F214" s="186">
        <v>0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186">
        <v>0</v>
      </c>
      <c r="M214" s="186">
        <v>0</v>
      </c>
      <c r="N214" s="186">
        <v>0</v>
      </c>
      <c r="O214" s="186">
        <v>0</v>
      </c>
      <c r="P214" s="186">
        <v>0</v>
      </c>
      <c r="Q214" s="186">
        <v>0</v>
      </c>
      <c r="R214" s="186">
        <v>0</v>
      </c>
      <c r="S214" s="186">
        <v>0</v>
      </c>
      <c r="T214" s="186">
        <v>0</v>
      </c>
      <c r="U214" s="186">
        <v>0</v>
      </c>
      <c r="V214" s="186">
        <v>0</v>
      </c>
      <c r="W214" s="186">
        <v>0</v>
      </c>
      <c r="X214" s="186">
        <v>0</v>
      </c>
      <c r="Y214" s="186">
        <v>0</v>
      </c>
      <c r="Z214" s="186">
        <v>0</v>
      </c>
      <c r="AA214" s="186">
        <v>0</v>
      </c>
      <c r="AB214" s="27"/>
      <c r="AC214" s="27"/>
      <c r="AD214" s="27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</row>
    <row r="215" spans="1:40" ht="12.75">
      <c r="A215" s="27"/>
      <c r="B215" s="172" t="s">
        <v>143</v>
      </c>
      <c r="C215" s="186">
        <f>C45+D45</f>
        <v>823925.43</v>
      </c>
      <c r="D215" s="186">
        <f>E45</f>
        <v>0</v>
      </c>
      <c r="E215" s="186">
        <f>F45</f>
        <v>0</v>
      </c>
      <c r="F215" s="186">
        <v>0</v>
      </c>
      <c r="G215" s="186">
        <v>0</v>
      </c>
      <c r="H215" s="186">
        <v>0</v>
      </c>
      <c r="I215" s="186">
        <v>0</v>
      </c>
      <c r="J215" s="186">
        <v>0</v>
      </c>
      <c r="K215" s="186">
        <v>0</v>
      </c>
      <c r="L215" s="186">
        <v>0</v>
      </c>
      <c r="M215" s="186">
        <v>0</v>
      </c>
      <c r="N215" s="186">
        <v>0</v>
      </c>
      <c r="O215" s="186">
        <v>0</v>
      </c>
      <c r="P215" s="186">
        <v>0</v>
      </c>
      <c r="Q215" s="186">
        <v>0</v>
      </c>
      <c r="R215" s="186">
        <v>0</v>
      </c>
      <c r="S215" s="186">
        <v>0</v>
      </c>
      <c r="T215" s="186">
        <v>0</v>
      </c>
      <c r="U215" s="186">
        <v>0</v>
      </c>
      <c r="V215" s="186">
        <v>0</v>
      </c>
      <c r="W215" s="186">
        <v>0</v>
      </c>
      <c r="X215" s="186">
        <v>0</v>
      </c>
      <c r="Y215" s="186">
        <v>0</v>
      </c>
      <c r="Z215" s="186">
        <v>0</v>
      </c>
      <c r="AA215" s="186">
        <v>0</v>
      </c>
      <c r="AB215" s="27"/>
      <c r="AC215" s="27"/>
      <c r="AD215" s="27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</row>
    <row r="216" spans="1:40" ht="12.75">
      <c r="A216" s="27"/>
      <c r="B216" s="182" t="s">
        <v>96</v>
      </c>
      <c r="C216" s="143">
        <f aca="true" t="shared" si="75" ref="C216:AA216">SUM(C211:C215)</f>
        <v>-217500.00000000012</v>
      </c>
      <c r="D216" s="143">
        <f t="shared" si="75"/>
        <v>-600</v>
      </c>
      <c r="E216" s="143">
        <f t="shared" si="75"/>
        <v>-1520</v>
      </c>
      <c r="F216" s="143">
        <f t="shared" si="75"/>
        <v>-1520</v>
      </c>
      <c r="G216" s="143">
        <f t="shared" si="75"/>
        <v>-1520</v>
      </c>
      <c r="H216" s="143">
        <f t="shared" si="75"/>
        <v>-1520</v>
      </c>
      <c r="I216" s="143">
        <f t="shared" si="75"/>
        <v>-1880</v>
      </c>
      <c r="J216" s="143">
        <f t="shared" si="75"/>
        <v>-2000</v>
      </c>
      <c r="K216" s="143">
        <f t="shared" si="75"/>
        <v>-2000</v>
      </c>
      <c r="L216" s="143">
        <f t="shared" si="75"/>
        <v>-2000</v>
      </c>
      <c r="M216" s="143">
        <f t="shared" si="75"/>
        <v>-2000</v>
      </c>
      <c r="N216" s="143">
        <f t="shared" si="75"/>
        <v>-2000</v>
      </c>
      <c r="O216" s="143">
        <f t="shared" si="75"/>
        <v>-2000</v>
      </c>
      <c r="P216" s="143">
        <f t="shared" si="75"/>
        <v>-2000</v>
      </c>
      <c r="Q216" s="154">
        <f t="shared" si="75"/>
        <v>-2000</v>
      </c>
      <c r="R216" s="143">
        <f t="shared" si="75"/>
        <v>-2000</v>
      </c>
      <c r="S216" s="143">
        <f t="shared" si="75"/>
        <v>-2000</v>
      </c>
      <c r="T216" s="143">
        <f t="shared" si="75"/>
        <v>-2000</v>
      </c>
      <c r="U216" s="143">
        <f t="shared" si="75"/>
        <v>-2000</v>
      </c>
      <c r="V216" s="143">
        <f t="shared" si="75"/>
        <v>-2000</v>
      </c>
      <c r="W216" s="143">
        <f t="shared" si="75"/>
        <v>-2000</v>
      </c>
      <c r="X216" s="143">
        <f t="shared" si="75"/>
        <v>-2000</v>
      </c>
      <c r="Y216" s="143">
        <f t="shared" si="75"/>
        <v>-2000</v>
      </c>
      <c r="Z216" s="143">
        <f t="shared" si="75"/>
        <v>-2000</v>
      </c>
      <c r="AA216" s="154">
        <f t="shared" si="75"/>
        <v>-2000</v>
      </c>
      <c r="AB216" s="27"/>
      <c r="AC216" s="27"/>
      <c r="AD216" s="27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</row>
    <row r="217" spans="1:40" ht="12.75">
      <c r="A217" s="27"/>
      <c r="B217" s="166" t="s">
        <v>117</v>
      </c>
      <c r="C217" s="144">
        <f>1/POWER(1.04,C209)</f>
        <v>1</v>
      </c>
      <c r="D217" s="144">
        <f aca="true" t="shared" si="76" ref="D217:AA217">1/POWER(1.04,D209)</f>
        <v>0.9615384615384615</v>
      </c>
      <c r="E217" s="144">
        <f t="shared" si="76"/>
        <v>0.9245562130177514</v>
      </c>
      <c r="F217" s="144">
        <f t="shared" si="76"/>
        <v>0.8889963586709149</v>
      </c>
      <c r="G217" s="144">
        <f t="shared" si="76"/>
        <v>0.8548041910297257</v>
      </c>
      <c r="H217" s="144">
        <f t="shared" si="76"/>
        <v>0.8219271067593515</v>
      </c>
      <c r="I217" s="144">
        <f t="shared" si="76"/>
        <v>0.7903145257301457</v>
      </c>
      <c r="J217" s="144">
        <f t="shared" si="76"/>
        <v>0.7599178132020633</v>
      </c>
      <c r="K217" s="144">
        <f t="shared" si="76"/>
        <v>0.7306902050019838</v>
      </c>
      <c r="L217" s="144">
        <f t="shared" si="76"/>
        <v>0.7025867355788304</v>
      </c>
      <c r="M217" s="144">
        <f t="shared" si="76"/>
        <v>0.6755641688257985</v>
      </c>
      <c r="N217" s="144">
        <f t="shared" si="76"/>
        <v>0.6495809315632679</v>
      </c>
      <c r="O217" s="144">
        <f t="shared" si="76"/>
        <v>0.6245970495800651</v>
      </c>
      <c r="P217" s="144">
        <f t="shared" si="76"/>
        <v>0.600574086134678</v>
      </c>
      <c r="Q217" s="155">
        <f t="shared" si="76"/>
        <v>0.5774750828218058</v>
      </c>
      <c r="R217" s="144">
        <f t="shared" si="76"/>
        <v>0.5552645027132748</v>
      </c>
      <c r="S217" s="144">
        <f t="shared" si="76"/>
        <v>0.533908175685841</v>
      </c>
      <c r="T217" s="144">
        <f t="shared" si="76"/>
        <v>0.5133732458517702</v>
      </c>
      <c r="U217" s="144">
        <f t="shared" si="76"/>
        <v>0.4936281210113175</v>
      </c>
      <c r="V217" s="144">
        <f t="shared" si="76"/>
        <v>0.47464242404934376</v>
      </c>
      <c r="W217" s="144">
        <f t="shared" si="76"/>
        <v>0.45638694620129205</v>
      </c>
      <c r="X217" s="144">
        <f t="shared" si="76"/>
        <v>0.43883360211662686</v>
      </c>
      <c r="Y217" s="144">
        <f t="shared" si="76"/>
        <v>0.4219553866506028</v>
      </c>
      <c r="Z217" s="144">
        <f t="shared" si="76"/>
        <v>0.4057263333178873</v>
      </c>
      <c r="AA217" s="155">
        <f t="shared" si="76"/>
        <v>0.3901214743441224</v>
      </c>
      <c r="AB217" s="27"/>
      <c r="AC217" s="27"/>
      <c r="AD217" s="27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</row>
    <row r="218" spans="1:40" ht="12.75">
      <c r="A218" s="27"/>
      <c r="B218" s="187" t="s">
        <v>97</v>
      </c>
      <c r="C218" s="138">
        <f aca="true" t="shared" si="77" ref="C218:AA218">C217*C216</f>
        <v>-217500.00000000012</v>
      </c>
      <c r="D218" s="138">
        <f t="shared" si="77"/>
        <v>-576.9230769230769</v>
      </c>
      <c r="E218" s="138">
        <f t="shared" si="77"/>
        <v>-1405.325443786982</v>
      </c>
      <c r="F218" s="138">
        <f t="shared" si="77"/>
        <v>-1351.2744651797907</v>
      </c>
      <c r="G218" s="138">
        <f t="shared" si="77"/>
        <v>-1299.3023703651832</v>
      </c>
      <c r="H218" s="138">
        <f t="shared" si="77"/>
        <v>-1249.3292022742144</v>
      </c>
      <c r="I218" s="138">
        <f t="shared" si="77"/>
        <v>-1485.791308372674</v>
      </c>
      <c r="J218" s="138">
        <f t="shared" si="77"/>
        <v>-1519.8356264041265</v>
      </c>
      <c r="K218" s="138">
        <f t="shared" si="77"/>
        <v>-1461.3804100039677</v>
      </c>
      <c r="L218" s="138">
        <f t="shared" si="77"/>
        <v>-1405.173471157661</v>
      </c>
      <c r="M218" s="138">
        <f t="shared" si="77"/>
        <v>-1351.1283376515971</v>
      </c>
      <c r="N218" s="138">
        <f t="shared" si="77"/>
        <v>-1299.1618631265358</v>
      </c>
      <c r="O218" s="138">
        <f t="shared" si="77"/>
        <v>-1249.1940991601302</v>
      </c>
      <c r="P218" s="138">
        <f t="shared" si="77"/>
        <v>-1201.148172269356</v>
      </c>
      <c r="Q218" s="89">
        <f t="shared" si="77"/>
        <v>-1154.9501656436116</v>
      </c>
      <c r="R218" s="138">
        <f t="shared" si="77"/>
        <v>-1110.5290054265495</v>
      </c>
      <c r="S218" s="138">
        <f t="shared" si="77"/>
        <v>-1067.816351371682</v>
      </c>
      <c r="T218" s="138">
        <f t="shared" si="77"/>
        <v>-1026.7464917035404</v>
      </c>
      <c r="U218" s="138">
        <f t="shared" si="77"/>
        <v>-987.256242022635</v>
      </c>
      <c r="V218" s="138">
        <f t="shared" si="77"/>
        <v>-949.2848480986875</v>
      </c>
      <c r="W218" s="138">
        <f t="shared" si="77"/>
        <v>-912.7738924025841</v>
      </c>
      <c r="X218" s="138">
        <f t="shared" si="77"/>
        <v>-877.6672042332538</v>
      </c>
      <c r="Y218" s="138">
        <f t="shared" si="77"/>
        <v>-843.9107733012056</v>
      </c>
      <c r="Z218" s="138">
        <f t="shared" si="77"/>
        <v>-811.4526666357747</v>
      </c>
      <c r="AA218" s="89">
        <f t="shared" si="77"/>
        <v>-780.2429486882448</v>
      </c>
      <c r="AB218" s="27"/>
      <c r="AC218" s="27"/>
      <c r="AD218" s="27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</row>
    <row r="219" spans="1:40" ht="12.75">
      <c r="A219" s="27"/>
      <c r="B219" s="176" t="s">
        <v>98</v>
      </c>
      <c r="C219" s="188">
        <f>SUM(C218:AA218)</f>
        <v>-244877.5984362032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7"/>
      <c r="N219" s="108"/>
      <c r="O219" s="108"/>
      <c r="P219" s="108"/>
      <c r="Q219" s="108"/>
      <c r="R219" s="108"/>
      <c r="S219" s="45"/>
      <c r="T219" s="45"/>
      <c r="U219" s="45"/>
      <c r="V219" s="27"/>
      <c r="W219" s="27"/>
      <c r="X219" s="27"/>
      <c r="Y219" s="27"/>
      <c r="Z219" s="27"/>
      <c r="AA219" s="27"/>
      <c r="AB219" s="27"/>
      <c r="AC219" s="27"/>
      <c r="AD219" s="27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</row>
    <row r="220" spans="1:40" ht="12.75">
      <c r="A220" s="27"/>
      <c r="B220" s="178" t="s">
        <v>99</v>
      </c>
      <c r="C220" s="189" t="e">
        <f>IRR(C216:AA216)</f>
        <v>#NUM!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7"/>
      <c r="N220" s="108"/>
      <c r="O220" s="108"/>
      <c r="P220" s="108"/>
      <c r="Q220" s="108"/>
      <c r="R220" s="108"/>
      <c r="S220" s="45"/>
      <c r="T220" s="45"/>
      <c r="U220" s="45"/>
      <c r="V220" s="27"/>
      <c r="W220" s="27"/>
      <c r="X220" s="27"/>
      <c r="Y220" s="27"/>
      <c r="Z220" s="27"/>
      <c r="AA220" s="27"/>
      <c r="AB220" s="27"/>
      <c r="AC220" s="27"/>
      <c r="AD220" s="27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</row>
    <row r="221" spans="1:40" ht="12.75">
      <c r="A221" s="27"/>
      <c r="B221" s="73"/>
      <c r="C221" s="73"/>
      <c r="D221" s="105"/>
      <c r="E221" s="106"/>
      <c r="F221" s="107"/>
      <c r="G221" s="108"/>
      <c r="H221" s="108"/>
      <c r="I221" s="108"/>
      <c r="J221" s="108"/>
      <c r="K221" s="108"/>
      <c r="L221" s="108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27"/>
      <c r="Z221" s="27"/>
      <c r="AA221" s="27"/>
      <c r="AB221" s="27"/>
      <c r="AC221" s="27"/>
      <c r="AD221" s="27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</row>
    <row r="222" spans="1:40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</row>
    <row r="223" spans="1:40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</row>
    <row r="224" spans="1:40" ht="12.75">
      <c r="A224" s="27"/>
      <c r="B224" s="54" t="s">
        <v>100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</row>
    <row r="225" spans="1:40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</row>
    <row r="226" spans="1:40" ht="12.75">
      <c r="A226" s="27"/>
      <c r="B226" s="27" t="s">
        <v>125</v>
      </c>
      <c r="C226" s="27"/>
      <c r="D226" s="27"/>
      <c r="E226" s="53">
        <v>1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</row>
    <row r="227" spans="1:40" ht="12.75">
      <c r="A227" s="27"/>
      <c r="B227" s="27" t="s">
        <v>126</v>
      </c>
      <c r="C227" s="27"/>
      <c r="D227" s="27"/>
      <c r="E227" s="53">
        <v>1</v>
      </c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</row>
    <row r="228" spans="1:40" ht="12.75">
      <c r="A228" s="27"/>
      <c r="B228" s="27"/>
      <c r="C228" s="27"/>
      <c r="D228" s="27"/>
      <c r="E228" s="53"/>
      <c r="F228" s="53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</row>
    <row r="229" spans="1:40" ht="12.75">
      <c r="A229" s="27"/>
      <c r="B229" s="27"/>
      <c r="C229" s="27"/>
      <c r="D229" s="27"/>
      <c r="E229" s="53"/>
      <c r="F229" s="53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</row>
    <row r="230" spans="1:40" ht="12.75">
      <c r="A230" s="27"/>
      <c r="B230" s="54" t="s">
        <v>131</v>
      </c>
      <c r="C230" s="27"/>
      <c r="D230" s="27"/>
      <c r="E230" s="27"/>
      <c r="F230" s="53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</row>
    <row r="231" spans="1:40" ht="12.75">
      <c r="A231" s="27"/>
      <c r="B231" s="109" t="s">
        <v>101</v>
      </c>
      <c r="C231" s="11" t="s">
        <v>129</v>
      </c>
      <c r="D231" s="11" t="s">
        <v>102</v>
      </c>
      <c r="E231" s="11" t="s">
        <v>102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</row>
    <row r="232" spans="1:40" ht="12.75">
      <c r="A232" s="27"/>
      <c r="B232" s="110"/>
      <c r="C232" s="111" t="s">
        <v>130</v>
      </c>
      <c r="D232" s="112">
        <v>-0.2</v>
      </c>
      <c r="E232" s="112">
        <v>0.2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</row>
    <row r="233" spans="1:40" ht="12.75">
      <c r="A233" s="27"/>
      <c r="B233" s="68" t="s">
        <v>127</v>
      </c>
      <c r="C233" s="201">
        <f>C204</f>
        <v>-1068803.028436203</v>
      </c>
      <c r="D233" s="113">
        <v>-849366.27</v>
      </c>
      <c r="E233" s="113">
        <v>-1260360.61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</row>
    <row r="234" spans="1:40" ht="12.75">
      <c r="A234" s="27"/>
      <c r="B234" s="68" t="s">
        <v>128</v>
      </c>
      <c r="C234" s="202"/>
      <c r="D234" s="114">
        <v>-1049387.92</v>
      </c>
      <c r="E234" s="114">
        <v>-1060338.96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</row>
    <row r="235" spans="1:40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</row>
    <row r="236" spans="1:40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</row>
    <row r="237" spans="1:40" ht="12.75">
      <c r="A237" s="27"/>
      <c r="B237" s="54" t="s">
        <v>132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</row>
    <row r="238" spans="1:40" ht="12.75">
      <c r="A238" s="27"/>
      <c r="B238" s="109" t="s">
        <v>101</v>
      </c>
      <c r="C238" s="11" t="s">
        <v>129</v>
      </c>
      <c r="D238" s="11" t="s">
        <v>102</v>
      </c>
      <c r="E238" s="11" t="s">
        <v>102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</row>
    <row r="239" spans="1:40" ht="12.75">
      <c r="A239" s="27"/>
      <c r="B239" s="110"/>
      <c r="C239" s="111" t="s">
        <v>130</v>
      </c>
      <c r="D239" s="112">
        <v>-0.2</v>
      </c>
      <c r="E239" s="112">
        <v>0.2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</row>
    <row r="240" spans="1:40" ht="12.75">
      <c r="A240" s="27"/>
      <c r="B240" s="68" t="s">
        <v>127</v>
      </c>
      <c r="C240" s="201">
        <f>C219</f>
        <v>-244877.5984362032</v>
      </c>
      <c r="D240" s="113">
        <v>-57378.69</v>
      </c>
      <c r="E240" s="113">
        <v>-468373.03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</row>
    <row r="241" spans="1:40" ht="12.75">
      <c r="A241" s="27"/>
      <c r="B241" s="68" t="s">
        <v>128</v>
      </c>
      <c r="C241" s="202"/>
      <c r="D241" s="114">
        <v>-257400.34</v>
      </c>
      <c r="E241" s="114">
        <v>-268351.38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</row>
    <row r="242" spans="1:40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</row>
    <row r="243" spans="1:40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</row>
    <row r="244" spans="1:40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</row>
    <row r="245" spans="1:40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</row>
    <row r="246" spans="1:40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</row>
    <row r="247" spans="1:40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</row>
    <row r="248" spans="1:40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</row>
    <row r="249" spans="1:40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</row>
    <row r="250" spans="1:40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</row>
    <row r="251" spans="1:40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</row>
    <row r="252" spans="1:40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</row>
    <row r="253" spans="1:40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</row>
    <row r="254" spans="1:40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</row>
    <row r="255" spans="1:40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</row>
    <row r="256" spans="1:40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</row>
    <row r="257" spans="1:40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</row>
    <row r="258" spans="1:40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</row>
    <row r="259" spans="1:40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</row>
    <row r="260" spans="1:40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</row>
    <row r="261" spans="1:40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</row>
    <row r="262" spans="1:40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</row>
    <row r="263" spans="1:40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</row>
    <row r="264" spans="1:40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</row>
    <row r="265" spans="1:40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</row>
    <row r="266" spans="1:40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</row>
    <row r="267" spans="1:40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</row>
    <row r="268" spans="1:40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</row>
    <row r="269" spans="1:40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</row>
    <row r="270" spans="1:40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</row>
    <row r="271" spans="1:40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</row>
    <row r="272" spans="1:40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</row>
    <row r="273" spans="1:40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</row>
    <row r="274" spans="1:40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</row>
    <row r="275" spans="1:40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</row>
    <row r="276" spans="1:40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</row>
    <row r="277" spans="1:40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</row>
    <row r="278" spans="1:40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</row>
    <row r="279" spans="1:40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</row>
    <row r="280" spans="1:40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</row>
    <row r="281" spans="1:40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</row>
    <row r="282" spans="1:40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</row>
    <row r="283" spans="1:40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</row>
    <row r="284" spans="1:40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</row>
    <row r="285" spans="1:40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</row>
    <row r="286" spans="1:40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</row>
    <row r="287" spans="1:40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</row>
    <row r="288" spans="1:40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</row>
    <row r="289" spans="1:40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</row>
    <row r="290" spans="1:40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</row>
    <row r="291" spans="1:40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</row>
    <row r="292" spans="1:40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</row>
    <row r="293" spans="1:40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</row>
    <row r="294" spans="1:40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</row>
    <row r="295" spans="1:40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</row>
    <row r="296" spans="1:40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</row>
    <row r="297" spans="1:40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</row>
    <row r="298" spans="1:40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</row>
    <row r="299" spans="1:40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</row>
    <row r="300" spans="1:40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</row>
    <row r="301" spans="1:40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</row>
    <row r="302" spans="1:40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</row>
    <row r="303" spans="1:40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</row>
    <row r="304" spans="1:40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</row>
    <row r="305" spans="1:40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</row>
    <row r="306" spans="1:40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</row>
    <row r="307" spans="1:40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</row>
    <row r="308" spans="1:40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</row>
    <row r="309" spans="1:40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</row>
    <row r="310" spans="1:40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</row>
    <row r="311" spans="1:40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</row>
    <row r="312" spans="1:40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</row>
    <row r="313" spans="1:40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</row>
    <row r="314" spans="1:40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</row>
    <row r="315" spans="1:40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</row>
    <row r="316" spans="1:40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</row>
    <row r="317" spans="1:40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</row>
    <row r="318" spans="1:40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</row>
    <row r="319" spans="1:40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</row>
    <row r="320" spans="1:40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</row>
    <row r="321" spans="1:40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</row>
    <row r="322" spans="1:40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</row>
    <row r="323" spans="1:40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</row>
    <row r="324" spans="1:40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</row>
    <row r="325" spans="1:40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</row>
    <row r="326" spans="1:40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</row>
    <row r="327" spans="1:40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</row>
    <row r="328" spans="1:40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</row>
    <row r="329" spans="1:40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</row>
    <row r="330" spans="1:40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</row>
    <row r="331" spans="1:40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</row>
    <row r="332" spans="1:40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</row>
    <row r="333" spans="1:40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</row>
    <row r="334" spans="1:40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</row>
    <row r="335" spans="1:40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</row>
    <row r="336" spans="1:40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</row>
    <row r="337" spans="1:40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</row>
    <row r="338" spans="1:40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</row>
    <row r="339" spans="1:40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</row>
    <row r="340" spans="1:40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</row>
    <row r="341" spans="1:40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</row>
    <row r="342" spans="1:40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</row>
    <row r="343" spans="1:40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</row>
    <row r="344" spans="1:40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</row>
    <row r="345" spans="1:40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</row>
    <row r="346" spans="1:40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</row>
    <row r="347" spans="1:40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</row>
    <row r="348" spans="1:40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</row>
    <row r="349" spans="1:40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</row>
    <row r="350" spans="1:40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</row>
    <row r="351" spans="1:40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</row>
    <row r="352" spans="1:40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</row>
    <row r="353" spans="1:40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</row>
    <row r="354" spans="1:40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</row>
    <row r="355" spans="1:40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</row>
    <row r="356" spans="1:40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</row>
    <row r="357" spans="1:40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</row>
    <row r="358" spans="1:40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</row>
    <row r="359" spans="1:40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</row>
    <row r="360" spans="1:40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</row>
    <row r="361" spans="1:40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</row>
    <row r="362" spans="1:40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</row>
    <row r="363" spans="1:40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</row>
    <row r="364" spans="1:40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</row>
    <row r="365" spans="1:40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</row>
    <row r="366" spans="1:40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</row>
    <row r="367" spans="1:40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</row>
    <row r="368" spans="1:40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</row>
    <row r="369" spans="1:40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</row>
    <row r="370" spans="1:40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</row>
    <row r="371" spans="1:40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</row>
    <row r="372" spans="1:40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</row>
    <row r="373" spans="1:40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</row>
    <row r="374" spans="1:40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</row>
    <row r="375" spans="1:40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</row>
    <row r="376" spans="1:40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</row>
    <row r="377" spans="1:40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</row>
    <row r="378" spans="1:40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</row>
    <row r="379" spans="1:40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</row>
    <row r="380" spans="1:40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</row>
    <row r="381" spans="1:40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</row>
    <row r="382" spans="1:40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</row>
    <row r="383" spans="1:40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</row>
    <row r="384" spans="1:40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</row>
    <row r="385" spans="1:40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</row>
    <row r="386" spans="1:40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</row>
    <row r="387" spans="1:40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</row>
    <row r="388" spans="1:40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</row>
    <row r="389" spans="1:40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</row>
    <row r="390" spans="1:40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</row>
    <row r="391" spans="1:40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</row>
    <row r="392" spans="1:40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</row>
    <row r="393" spans="1:40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</row>
    <row r="394" spans="1:40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</row>
    <row r="395" spans="1:40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</row>
    <row r="396" spans="1:40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</row>
    <row r="397" spans="1:40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</row>
    <row r="398" spans="1:40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</row>
    <row r="399" spans="1:40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</row>
    <row r="400" spans="1:40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</row>
    <row r="401" spans="1:40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</row>
    <row r="402" spans="1:40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</row>
    <row r="403" spans="1:40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</row>
    <row r="404" spans="1:40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</row>
    <row r="405" spans="1:40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</row>
    <row r="406" spans="1:40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</row>
    <row r="407" spans="1:40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</row>
    <row r="408" spans="1:40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</row>
    <row r="409" spans="1:40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</row>
    <row r="410" spans="1:40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</row>
    <row r="411" spans="1:40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</row>
    <row r="412" spans="1:40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</row>
    <row r="413" spans="1:40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</row>
    <row r="414" spans="1:40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</row>
    <row r="415" spans="1:40" ht="12.7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</row>
    <row r="416" spans="1:40" ht="12.75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</row>
    <row r="417" spans="1:40" ht="12.75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</row>
    <row r="418" spans="1:40" ht="12.75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</row>
    <row r="419" spans="1:40" ht="12.75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</row>
    <row r="420" spans="1:40" ht="12.75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</row>
    <row r="421" spans="1:40" ht="12.75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</row>
    <row r="422" spans="1:40" ht="12.75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</row>
    <row r="423" spans="1:40" ht="12.75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</row>
    <row r="424" spans="1:40" ht="12.75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</row>
    <row r="425" spans="1:40" ht="12.75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</row>
    <row r="426" spans="1:40" ht="12.75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</row>
    <row r="427" spans="1:40" ht="12.75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</row>
    <row r="428" spans="1:40" ht="12.75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</row>
    <row r="429" spans="1:40" ht="12.75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</row>
    <row r="430" spans="1:40" ht="12.75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</row>
    <row r="431" spans="1:40" ht="12.75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</row>
    <row r="432" spans="1:40" ht="12.75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</row>
    <row r="433" spans="1:40" ht="12.75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</row>
    <row r="434" spans="1:40" ht="12.75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</row>
    <row r="435" spans="1:40" ht="12.75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</row>
    <row r="436" spans="1:40" ht="12.75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</row>
    <row r="437" spans="1:40" ht="12.75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</row>
    <row r="438" spans="1:40" ht="12.75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</row>
    <row r="439" spans="1:40" ht="12.75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</row>
    <row r="440" spans="1:40" ht="12.75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</row>
    <row r="441" spans="1:40" ht="12.75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</row>
    <row r="442" spans="1:40" ht="12.75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</row>
    <row r="443" spans="1:40" ht="12.75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</row>
    <row r="444" spans="1:40" ht="12.75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</row>
    <row r="445" spans="1:40" ht="12.75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</row>
    <row r="446" spans="1:40" ht="12.75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</row>
    <row r="447" spans="1:40" ht="12.75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</row>
    <row r="448" spans="1:40" ht="12.75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</row>
    <row r="449" spans="1:40" ht="12.75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</row>
    <row r="450" spans="1:40" ht="12.75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</row>
    <row r="451" spans="1:40" ht="12.75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</row>
    <row r="452" spans="1:40" ht="12.75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</row>
    <row r="453" spans="1:40" ht="12.75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</row>
    <row r="454" spans="1:40" ht="12.75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</row>
    <row r="455" spans="1:40" ht="12.75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</row>
    <row r="456" spans="1:40" ht="12.75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</row>
    <row r="457" spans="1:40" ht="12.75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</row>
    <row r="458" spans="1:40" ht="12.75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</row>
    <row r="459" spans="1:40" ht="12.75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</row>
    <row r="460" spans="1:40" ht="12.75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</row>
    <row r="461" spans="1:40" ht="12.75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</row>
    <row r="462" spans="1:40" ht="12.75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</row>
    <row r="463" spans="1:40" ht="12.75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</row>
    <row r="464" spans="1:40" ht="12.75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</row>
    <row r="465" spans="1:40" ht="12.75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</row>
    <row r="466" spans="1:40" ht="12.75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</row>
    <row r="467" spans="1:40" ht="12.75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</row>
    <row r="468" spans="1:40" ht="12.75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</row>
    <row r="469" spans="1:40" ht="12.75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</row>
    <row r="470" spans="1:40" ht="12.75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</row>
    <row r="471" spans="1:40" ht="12.75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</row>
    <row r="472" spans="1:40" ht="12.75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</row>
    <row r="473" spans="1:40" ht="12.75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</row>
    <row r="474" spans="1:40" ht="12.75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</row>
    <row r="475" spans="1:40" ht="12.75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</row>
    <row r="476" spans="1:40" ht="12.75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</row>
    <row r="477" spans="1:40" ht="12.75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</row>
    <row r="478" spans="1:40" ht="12.75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</row>
    <row r="479" spans="1:40" ht="12.75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</row>
    <row r="480" spans="1:40" ht="12.75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</row>
    <row r="481" spans="1:40" ht="12.75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</row>
    <row r="482" spans="1:40" ht="12.75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</row>
    <row r="483" spans="1:40" ht="12.75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</row>
    <row r="484" spans="1:40" ht="12.75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</row>
  </sheetData>
  <sheetProtection/>
  <mergeCells count="4">
    <mergeCell ref="C233:C234"/>
    <mergeCell ref="C240:C241"/>
    <mergeCell ref="G47:G48"/>
    <mergeCell ref="H47:H4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421875" style="0" customWidth="1"/>
    <col min="2" max="2" width="54.140625" style="0" customWidth="1"/>
    <col min="3" max="3" width="14.7109375" style="0" customWidth="1"/>
    <col min="4" max="5" width="13.57421875" style="0" customWidth="1"/>
    <col min="6" max="6" width="13.28125" style="0" customWidth="1"/>
    <col min="7" max="7" width="19.7109375" style="0" customWidth="1"/>
    <col min="8" max="8" width="15.28125" style="0" customWidth="1"/>
    <col min="9" max="9" width="18.140625" style="0" customWidth="1"/>
    <col min="10" max="10" width="14.57421875" style="0" customWidth="1"/>
    <col min="11" max="21" width="13.140625" style="0" customWidth="1"/>
    <col min="22" max="24" width="11.7109375" style="0" customWidth="1"/>
  </cols>
  <sheetData>
    <row r="1" spans="1:8" ht="12.75">
      <c r="A1" s="27"/>
      <c r="B1" s="27"/>
      <c r="C1" s="27"/>
      <c r="D1" s="27"/>
      <c r="E1" s="27"/>
      <c r="F1" s="27"/>
      <c r="G1" s="27"/>
      <c r="H1" s="27"/>
    </row>
    <row r="2" spans="1:8" ht="12.75">
      <c r="A2" s="27"/>
      <c r="B2" s="27" t="s">
        <v>64</v>
      </c>
      <c r="C2" s="9">
        <f>'Nakłady - źródła finansowania'!C69</f>
        <v>579040</v>
      </c>
      <c r="D2" s="27" t="s">
        <v>135</v>
      </c>
      <c r="E2" s="27"/>
      <c r="F2" s="27"/>
      <c r="G2" s="27"/>
      <c r="H2" s="27"/>
    </row>
    <row r="3" spans="1:8" ht="12.75">
      <c r="A3" s="27"/>
      <c r="B3" s="27" t="s">
        <v>67</v>
      </c>
      <c r="C3" s="9">
        <f>'Nakłady - źródła finansowania'!E43</f>
        <v>579040</v>
      </c>
      <c r="D3" s="27" t="s">
        <v>135</v>
      </c>
      <c r="E3" s="27"/>
      <c r="F3" s="27"/>
      <c r="G3" s="27"/>
      <c r="H3" s="2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8" ht="12.75">
      <c r="A5" s="27"/>
      <c r="B5" s="27"/>
      <c r="C5" s="50"/>
      <c r="D5" s="27"/>
      <c r="E5" s="27"/>
      <c r="F5" s="27"/>
      <c r="G5" s="27"/>
      <c r="H5" s="27"/>
    </row>
    <row r="6" spans="1:8" ht="12.75">
      <c r="A6" s="27"/>
      <c r="B6" s="51" t="s">
        <v>164</v>
      </c>
      <c r="C6" s="157">
        <v>14340</v>
      </c>
      <c r="D6" s="27"/>
      <c r="E6" s="27"/>
      <c r="F6" s="27"/>
      <c r="G6" s="27"/>
      <c r="H6" s="27"/>
    </row>
    <row r="7" spans="1:8" ht="12.75">
      <c r="A7" s="27"/>
      <c r="B7" s="52"/>
      <c r="C7" s="52"/>
      <c r="D7" s="27"/>
      <c r="E7" s="27"/>
      <c r="F7" s="27"/>
      <c r="G7" s="27"/>
      <c r="H7" s="27"/>
    </row>
    <row r="8" spans="1:8" ht="12.75">
      <c r="A8" s="27"/>
      <c r="B8" s="52"/>
      <c r="C8" s="52"/>
      <c r="D8" s="27"/>
      <c r="E8" s="27"/>
      <c r="F8" s="27"/>
      <c r="G8" s="27"/>
      <c r="H8" s="27"/>
    </row>
    <row r="9" spans="1:8" ht="12.75">
      <c r="A9" s="27"/>
      <c r="B9" s="27"/>
      <c r="C9" s="53"/>
      <c r="D9" s="27"/>
      <c r="E9" s="27"/>
      <c r="F9" s="27"/>
      <c r="G9" s="27"/>
      <c r="H9" s="27"/>
    </row>
    <row r="10" spans="1:8" ht="13.5" thickBot="1">
      <c r="A10" s="27" t="s">
        <v>141</v>
      </c>
      <c r="B10" s="54"/>
      <c r="C10" s="27"/>
      <c r="D10" s="27"/>
      <c r="E10" s="27"/>
      <c r="F10" s="27"/>
      <c r="G10" s="27"/>
      <c r="H10" s="27"/>
    </row>
    <row r="11" spans="1:8" ht="14.25" thickBot="1" thickTop="1">
      <c r="A11" s="55">
        <v>1</v>
      </c>
      <c r="B11" s="203" t="s">
        <v>57</v>
      </c>
      <c r="C11" s="204"/>
      <c r="D11" s="27"/>
      <c r="E11" s="27"/>
      <c r="F11" s="27"/>
      <c r="G11" s="27"/>
      <c r="H11" s="27"/>
    </row>
    <row r="12" spans="1:8" ht="14.25" thickBot="1" thickTop="1">
      <c r="A12" s="56" t="s">
        <v>58</v>
      </c>
      <c r="B12" s="57" t="s">
        <v>29</v>
      </c>
      <c r="C12" s="58">
        <f>C2</f>
        <v>579040</v>
      </c>
      <c r="D12" s="27"/>
      <c r="E12" s="27"/>
      <c r="F12" s="27"/>
      <c r="G12" s="27"/>
      <c r="H12" s="27"/>
    </row>
    <row r="13" spans="1:8" ht="14.25" thickBot="1" thickTop="1">
      <c r="A13" s="56" t="s">
        <v>59</v>
      </c>
      <c r="B13" s="57" t="s">
        <v>68</v>
      </c>
      <c r="C13" s="58">
        <f>C3</f>
        <v>579040</v>
      </c>
      <c r="D13" s="27"/>
      <c r="E13" s="27"/>
      <c r="F13" s="27"/>
      <c r="G13" s="27"/>
      <c r="H13" s="27"/>
    </row>
    <row r="14" spans="1:8" ht="14.25" thickBot="1" thickTop="1">
      <c r="A14" s="56" t="s">
        <v>60</v>
      </c>
      <c r="B14" s="59" t="s">
        <v>165</v>
      </c>
      <c r="C14" s="158">
        <f>C6</f>
        <v>14340</v>
      </c>
      <c r="D14" s="27"/>
      <c r="E14" s="27"/>
      <c r="F14" s="27"/>
      <c r="G14" s="27"/>
      <c r="H14" s="27"/>
    </row>
    <row r="15" spans="1:8" ht="14.25" thickBot="1" thickTop="1">
      <c r="A15" s="55">
        <v>2</v>
      </c>
      <c r="B15" s="205" t="s">
        <v>61</v>
      </c>
      <c r="C15" s="204"/>
      <c r="D15" s="27"/>
      <c r="E15" s="27"/>
      <c r="F15" s="27"/>
      <c r="G15" s="27"/>
      <c r="H15" s="27"/>
    </row>
    <row r="16" spans="1:8" ht="30" customHeight="1" thickBot="1" thickTop="1">
      <c r="A16" s="56" t="s">
        <v>62</v>
      </c>
      <c r="B16" s="57" t="s">
        <v>166</v>
      </c>
      <c r="C16" s="60">
        <f>C12/C14</f>
        <v>40.37935843793584</v>
      </c>
      <c r="D16" s="27"/>
      <c r="E16" s="27"/>
      <c r="F16" s="27"/>
      <c r="G16" s="27"/>
      <c r="H16" s="27"/>
    </row>
    <row r="17" spans="1:8" ht="30" customHeight="1" thickBot="1" thickTop="1">
      <c r="A17" s="56" t="s">
        <v>63</v>
      </c>
      <c r="B17" s="57" t="s">
        <v>167</v>
      </c>
      <c r="C17" s="58">
        <f>C13/C14</f>
        <v>40.37935843793584</v>
      </c>
      <c r="D17" s="27"/>
      <c r="E17" s="27"/>
      <c r="F17" s="27"/>
      <c r="G17" s="27"/>
      <c r="H17" s="27"/>
    </row>
    <row r="18" spans="1:8" ht="13.5" thickTop="1">
      <c r="A18" s="27"/>
      <c r="B18" s="27"/>
      <c r="C18" s="27"/>
      <c r="D18" s="27"/>
      <c r="E18" s="27"/>
      <c r="F18" s="27"/>
      <c r="G18" s="27"/>
      <c r="H18" s="27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0" spans="1:8" ht="12.75">
      <c r="A20" s="27"/>
      <c r="B20" s="27"/>
      <c r="C20" s="27"/>
      <c r="D20" s="27"/>
      <c r="E20" s="27"/>
      <c r="F20" s="27"/>
      <c r="G20" s="27"/>
      <c r="H20" s="27"/>
    </row>
    <row r="21" spans="1:8" ht="12.75">
      <c r="A21" s="27"/>
      <c r="B21" s="27"/>
      <c r="C21" s="27"/>
      <c r="D21" s="27"/>
      <c r="E21" s="27"/>
      <c r="F21" s="27"/>
      <c r="G21" s="27"/>
      <c r="H21" s="27"/>
    </row>
    <row r="22" spans="1:8" ht="12.75">
      <c r="A22" s="27"/>
      <c r="B22" s="27"/>
      <c r="C22" s="27"/>
      <c r="D22" s="27"/>
      <c r="E22" s="27"/>
      <c r="F22" s="27"/>
      <c r="G22" s="27"/>
      <c r="H22" s="27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7"/>
      <c r="B24" s="27"/>
      <c r="C24" s="27"/>
      <c r="D24" s="27"/>
      <c r="E24" s="27"/>
      <c r="F24" s="27"/>
      <c r="G24" s="27"/>
      <c r="H24" s="27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12.75">
      <c r="A26" s="27"/>
      <c r="B26" s="27"/>
      <c r="C26" s="27"/>
      <c r="D26" s="27"/>
      <c r="E26" s="27"/>
      <c r="F26" s="27"/>
      <c r="G26" s="27"/>
      <c r="H26" s="27"/>
    </row>
    <row r="27" spans="1:8" ht="12.75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/>
      <c r="B28" s="27"/>
      <c r="C28" s="27"/>
      <c r="D28" s="27"/>
      <c r="E28" s="27"/>
      <c r="F28" s="27"/>
      <c r="G28" s="27"/>
      <c r="H28" s="27"/>
    </row>
    <row r="29" spans="1:8" ht="12.75" customHeight="1">
      <c r="A29" s="27"/>
      <c r="B29" s="27"/>
      <c r="C29" s="27"/>
      <c r="D29" s="27"/>
      <c r="E29" s="27"/>
      <c r="F29" s="27"/>
      <c r="G29" s="27"/>
      <c r="H29" s="27"/>
    </row>
    <row r="30" spans="1:8" ht="14.25" customHeight="1">
      <c r="A30" s="27"/>
      <c r="B30" s="27"/>
      <c r="C30" s="27"/>
      <c r="D30" s="27"/>
      <c r="E30" s="27"/>
      <c r="F30" s="27"/>
      <c r="G30" s="27"/>
      <c r="H30" s="27"/>
    </row>
    <row r="31" spans="1:8" ht="14.25" customHeight="1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</sheetData>
  <sheetProtection/>
  <mergeCells count="2">
    <mergeCell ref="B11:C11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4"/>
  <sheetViews>
    <sheetView zoomScalePageLayoutView="0" workbookViewId="0" topLeftCell="B1">
      <selection activeCell="D70" sqref="D70:O70"/>
    </sheetView>
  </sheetViews>
  <sheetFormatPr defaultColWidth="9.140625" defaultRowHeight="12.75"/>
  <cols>
    <col min="1" max="1" width="9.140625" style="0" customWidth="1"/>
    <col min="2" max="2" width="65.421875" style="0" customWidth="1"/>
    <col min="3" max="3" width="10.00390625" style="0" customWidth="1"/>
    <col min="4" max="4" width="11.28125" style="0" customWidth="1"/>
    <col min="5" max="5" width="8.7109375" style="0" customWidth="1"/>
    <col min="6" max="6" width="9.421875" style="0" customWidth="1"/>
    <col min="7" max="7" width="9.7109375" style="0" customWidth="1"/>
    <col min="8" max="8" width="10.8515625" style="0" customWidth="1"/>
    <col min="9" max="9" width="10.7109375" style="0" customWidth="1"/>
    <col min="10" max="10" width="10.421875" style="0" customWidth="1"/>
    <col min="11" max="13" width="9.8515625" style="0" customWidth="1"/>
    <col min="14" max="14" width="8.7109375" style="0" customWidth="1"/>
    <col min="15" max="15" width="7.8515625" style="0" customWidth="1"/>
    <col min="16" max="19" width="8.7109375" style="0" customWidth="1"/>
    <col min="20" max="23" width="10.7109375" style="0" customWidth="1"/>
    <col min="24" max="24" width="10.140625" style="0" bestFit="1" customWidth="1"/>
  </cols>
  <sheetData>
    <row r="1" spans="2:17" ht="15.75">
      <c r="B1" s="48" t="s">
        <v>119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2:15" ht="12.75">
      <c r="B2" s="206" t="s">
        <v>75</v>
      </c>
      <c r="C2" s="207" t="s">
        <v>7</v>
      </c>
      <c r="D2" s="207">
        <v>2019</v>
      </c>
      <c r="E2" s="207"/>
      <c r="F2" s="207"/>
      <c r="G2" s="207"/>
      <c r="H2" s="207">
        <v>2020</v>
      </c>
      <c r="I2" s="207"/>
      <c r="J2" s="207"/>
      <c r="K2" s="207"/>
      <c r="L2" s="207">
        <v>2021</v>
      </c>
      <c r="M2" s="207"/>
      <c r="N2" s="207"/>
      <c r="O2" s="207"/>
    </row>
    <row r="3" spans="1:15" ht="12.75">
      <c r="A3" s="1"/>
      <c r="B3" s="206"/>
      <c r="C3" s="207"/>
      <c r="D3" s="24" t="s">
        <v>74</v>
      </c>
      <c r="E3" s="24" t="s">
        <v>71</v>
      </c>
      <c r="F3" s="24" t="s">
        <v>72</v>
      </c>
      <c r="G3" s="24" t="s">
        <v>73</v>
      </c>
      <c r="H3" s="24" t="s">
        <v>74</v>
      </c>
      <c r="I3" s="24" t="s">
        <v>71</v>
      </c>
      <c r="J3" s="24" t="s">
        <v>72</v>
      </c>
      <c r="K3" s="24" t="s">
        <v>73</v>
      </c>
      <c r="L3" s="24" t="s">
        <v>74</v>
      </c>
      <c r="M3" s="24" t="s">
        <v>71</v>
      </c>
      <c r="N3" s="24" t="s">
        <v>72</v>
      </c>
      <c r="O3" s="24" t="s">
        <v>73</v>
      </c>
    </row>
    <row r="4" spans="1:15" ht="12.75">
      <c r="A4" s="1"/>
      <c r="B4" s="4" t="s">
        <v>215</v>
      </c>
      <c r="C4" s="28">
        <f>SUM(D4:K4)</f>
        <v>99472.7</v>
      </c>
      <c r="D4" s="29"/>
      <c r="E4" s="30"/>
      <c r="F4" s="31">
        <f>ROUND((D23+D24)/1.23,2)</f>
        <v>99472.7</v>
      </c>
      <c r="G4" s="31"/>
      <c r="H4" s="32"/>
      <c r="I4" s="32"/>
      <c r="J4" s="32"/>
      <c r="K4" s="29"/>
      <c r="L4" s="32"/>
      <c r="M4" s="32"/>
      <c r="N4" s="32"/>
      <c r="O4" s="29"/>
    </row>
    <row r="5" spans="1:15" ht="12.75">
      <c r="A5" s="1"/>
      <c r="B5" s="4" t="s">
        <v>216</v>
      </c>
      <c r="C5" s="28">
        <f>SUM(D5:K5)</f>
        <v>22878.720000000016</v>
      </c>
      <c r="D5" s="29"/>
      <c r="E5" s="30"/>
      <c r="F5" s="31">
        <f>(D23+D24)-F4</f>
        <v>22878.720000000016</v>
      </c>
      <c r="G5" s="33"/>
      <c r="H5" s="34"/>
      <c r="I5" s="34"/>
      <c r="J5" s="34"/>
      <c r="K5" s="29"/>
      <c r="L5" s="34"/>
      <c r="M5" s="34"/>
      <c r="N5" s="34"/>
      <c r="O5" s="29"/>
    </row>
    <row r="6" spans="1:15" ht="12.75">
      <c r="A6" s="1"/>
      <c r="B6" s="4" t="s">
        <v>155</v>
      </c>
      <c r="C6" s="28">
        <f>SUM(D6:K6)</f>
        <v>26679.31</v>
      </c>
      <c r="D6" s="29"/>
      <c r="E6" s="30"/>
      <c r="F6" s="31">
        <f>ROUND((D25)/1.23,2)</f>
        <v>26679.31</v>
      </c>
      <c r="G6" s="33"/>
      <c r="H6" s="34"/>
      <c r="I6" s="34"/>
      <c r="J6" s="34"/>
      <c r="K6" s="29"/>
      <c r="L6" s="34"/>
      <c r="M6" s="34"/>
      <c r="N6" s="34"/>
      <c r="O6" s="29"/>
    </row>
    <row r="7" spans="1:15" ht="12.75">
      <c r="A7" s="1"/>
      <c r="B7" s="4" t="s">
        <v>156</v>
      </c>
      <c r="C7" s="28">
        <f>SUM(D7:K7)</f>
        <v>6136.240000000002</v>
      </c>
      <c r="D7" s="29"/>
      <c r="E7" s="30"/>
      <c r="F7" s="31">
        <f>(D25)-F6</f>
        <v>6136.240000000002</v>
      </c>
      <c r="G7" s="33"/>
      <c r="H7" s="34"/>
      <c r="I7" s="34"/>
      <c r="J7" s="34"/>
      <c r="K7" s="29"/>
      <c r="L7" s="34"/>
      <c r="M7" s="34"/>
      <c r="N7" s="34"/>
      <c r="O7" s="29"/>
    </row>
    <row r="8" spans="1:15" ht="12.75" customHeight="1">
      <c r="A8" s="1"/>
      <c r="B8" s="4" t="s">
        <v>157</v>
      </c>
      <c r="C8" s="28">
        <f>SUM(D8:K8)</f>
        <v>214227.63</v>
      </c>
      <c r="D8" s="29"/>
      <c r="E8" s="30"/>
      <c r="G8" s="31">
        <f>ROUND((D26)/1.23,2)</f>
        <v>214227.63</v>
      </c>
      <c r="H8" s="34"/>
      <c r="I8" s="34"/>
      <c r="J8" s="34"/>
      <c r="K8" s="29"/>
      <c r="L8" s="34"/>
      <c r="M8" s="34"/>
      <c r="N8" s="34"/>
      <c r="O8" s="29"/>
    </row>
    <row r="9" spans="1:15" ht="12.75">
      <c r="A9" s="1"/>
      <c r="B9" s="4" t="s">
        <v>158</v>
      </c>
      <c r="C9" s="28">
        <f>SUM(D9:K9)</f>
        <v>49272.359999999986</v>
      </c>
      <c r="D9" s="29"/>
      <c r="E9" s="30"/>
      <c r="G9" s="31">
        <f>(D26)-G8</f>
        <v>49272.359999999986</v>
      </c>
      <c r="H9" s="34"/>
      <c r="I9" s="34"/>
      <c r="J9" s="34"/>
      <c r="K9" s="29"/>
      <c r="L9" s="34"/>
      <c r="M9" s="34"/>
      <c r="N9" s="34"/>
      <c r="O9" s="29"/>
    </row>
    <row r="10" spans="1:15" ht="12.75" customHeight="1">
      <c r="A10" s="1"/>
      <c r="B10" s="4" t="s">
        <v>211</v>
      </c>
      <c r="C10" s="28">
        <f>SUM(D10:K10)</f>
        <v>506307.69</v>
      </c>
      <c r="D10" s="29"/>
      <c r="E10" s="30"/>
      <c r="F10" s="31">
        <f>ROUND(SUM(D28,D33)/1.23,2)</f>
        <v>255595.54</v>
      </c>
      <c r="G10" s="31">
        <f>ROUND(SUM(D27,D29:D32)/1.23,2)</f>
        <v>250712.15</v>
      </c>
      <c r="H10" s="34"/>
      <c r="I10" s="34"/>
      <c r="J10" s="34"/>
      <c r="K10" s="29"/>
      <c r="L10" s="34"/>
      <c r="M10" s="34"/>
      <c r="N10" s="34"/>
      <c r="O10" s="29"/>
    </row>
    <row r="11" spans="1:15" ht="12.75">
      <c r="A11" s="1"/>
      <c r="B11" s="4" t="s">
        <v>212</v>
      </c>
      <c r="C11" s="28">
        <f>SUM(D11:K11)</f>
        <v>116450.78000000003</v>
      </c>
      <c r="D11" s="29"/>
      <c r="E11" s="29"/>
      <c r="F11" s="31">
        <f>(SUM(D28,D33)-F10)</f>
        <v>58786.98000000001</v>
      </c>
      <c r="G11" s="31">
        <f>(SUM(D27,D29:D32)-G10)</f>
        <v>57663.80000000002</v>
      </c>
      <c r="H11" s="35"/>
      <c r="I11" s="34"/>
      <c r="J11" s="36"/>
      <c r="K11" s="29"/>
      <c r="L11" s="35"/>
      <c r="M11" s="34"/>
      <c r="N11" s="36"/>
      <c r="O11" s="29"/>
    </row>
    <row r="12" spans="1:15" ht="12.75">
      <c r="A12" s="1"/>
      <c r="B12" s="4" t="s">
        <v>229</v>
      </c>
      <c r="C12" s="28">
        <f>SUM(D12:K12)</f>
        <v>132019.51</v>
      </c>
      <c r="D12" s="29"/>
      <c r="E12" s="29"/>
      <c r="F12" s="31"/>
      <c r="G12" s="29"/>
      <c r="H12" s="31">
        <f>ROUND(H69/1.23,2)</f>
        <v>38492.68</v>
      </c>
      <c r="I12" s="31">
        <f aca="true" t="shared" si="0" ref="I12:O12">ROUND(I69/1.23,2)</f>
        <v>16541.46</v>
      </c>
      <c r="J12" s="31">
        <f t="shared" si="0"/>
        <v>31175.61</v>
      </c>
      <c r="K12" s="31">
        <f t="shared" si="0"/>
        <v>45809.76</v>
      </c>
      <c r="L12" s="31">
        <f t="shared" si="0"/>
        <v>18728.46</v>
      </c>
      <c r="M12" s="31">
        <f t="shared" si="0"/>
        <v>57191.87</v>
      </c>
      <c r="N12" s="31">
        <f t="shared" si="0"/>
        <v>32151.22</v>
      </c>
      <c r="O12" s="31">
        <f t="shared" si="0"/>
        <v>15728.46</v>
      </c>
    </row>
    <row r="13" spans="1:15" ht="12.75">
      <c r="A13" s="1"/>
      <c r="B13" s="4" t="s">
        <v>230</v>
      </c>
      <c r="C13" s="28">
        <f>SUM(D13:K13)</f>
        <v>30364.489999999998</v>
      </c>
      <c r="D13" s="29"/>
      <c r="E13" s="29"/>
      <c r="F13" s="31"/>
      <c r="G13" s="29"/>
      <c r="H13" s="31">
        <f>(H69)-H12</f>
        <v>8853.32</v>
      </c>
      <c r="I13" s="31">
        <f aca="true" t="shared" si="1" ref="I13:O13">(I69)-I12</f>
        <v>3804.540000000001</v>
      </c>
      <c r="J13" s="31">
        <f t="shared" si="1"/>
        <v>7170.389999999999</v>
      </c>
      <c r="K13" s="31">
        <f t="shared" si="1"/>
        <v>10536.239999999998</v>
      </c>
      <c r="L13" s="31">
        <f t="shared" si="1"/>
        <v>4307.540000000001</v>
      </c>
      <c r="M13" s="31">
        <f t="shared" si="1"/>
        <v>13154.129999999997</v>
      </c>
      <c r="N13" s="31">
        <f t="shared" si="1"/>
        <v>7394.779999999999</v>
      </c>
      <c r="O13" s="31">
        <f t="shared" si="1"/>
        <v>3617.540000000001</v>
      </c>
    </row>
    <row r="14" spans="1:15" ht="12.75">
      <c r="A14" s="1"/>
      <c r="B14" s="37" t="s">
        <v>76</v>
      </c>
      <c r="C14" s="38">
        <f>SUM(D14:K14)</f>
        <v>1203809.4300000002</v>
      </c>
      <c r="D14" s="38">
        <f aca="true" t="shared" si="2" ref="D14:K14">SUM(D4:D13)</f>
        <v>0</v>
      </c>
      <c r="E14" s="38">
        <f t="shared" si="2"/>
        <v>0</v>
      </c>
      <c r="F14" s="38">
        <f t="shared" si="2"/>
        <v>469549.49</v>
      </c>
      <c r="G14" s="38">
        <f t="shared" si="2"/>
        <v>571875.9400000001</v>
      </c>
      <c r="H14" s="38">
        <f t="shared" si="2"/>
        <v>47346</v>
      </c>
      <c r="I14" s="38">
        <f t="shared" si="2"/>
        <v>20346</v>
      </c>
      <c r="J14" s="38">
        <f t="shared" si="2"/>
        <v>38346</v>
      </c>
      <c r="K14" s="38">
        <f t="shared" si="2"/>
        <v>56346</v>
      </c>
      <c r="L14" s="38">
        <f>SUM(L4:L13)</f>
        <v>23036</v>
      </c>
      <c r="M14" s="38">
        <f>SUM(M4:M13)</f>
        <v>70346</v>
      </c>
      <c r="N14" s="38">
        <f>SUM(N4:N13)</f>
        <v>39546</v>
      </c>
      <c r="O14" s="38">
        <f>SUM(O4:O13)</f>
        <v>19346</v>
      </c>
    </row>
    <row r="15" spans="1:15" ht="12.75">
      <c r="A15" s="1"/>
      <c r="B15" s="39" t="s">
        <v>133</v>
      </c>
      <c r="C15" s="38" t="e">
        <f>#REF!+D15+H15</f>
        <v>#REF!</v>
      </c>
      <c r="D15" s="211">
        <f>SUM(D14:G14)</f>
        <v>1041425.43</v>
      </c>
      <c r="E15" s="211"/>
      <c r="F15" s="211"/>
      <c r="G15" s="211"/>
      <c r="H15" s="211">
        <f>SUM(H14:K14)</f>
        <v>162384</v>
      </c>
      <c r="I15" s="211"/>
      <c r="J15" s="211"/>
      <c r="K15" s="211"/>
      <c r="L15" s="211">
        <f>SUM(L14:O14)</f>
        <v>152274</v>
      </c>
      <c r="M15" s="211"/>
      <c r="N15" s="211"/>
      <c r="O15" s="211"/>
    </row>
    <row r="16" spans="1:23" ht="12.75">
      <c r="A16" s="1"/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3"/>
      <c r="S16" s="3"/>
      <c r="T16" s="3"/>
      <c r="U16" s="3"/>
      <c r="V16" s="3"/>
      <c r="W16" s="3"/>
    </row>
    <row r="17" spans="1:23" ht="12.75">
      <c r="A17" s="1"/>
      <c r="B17" s="8"/>
      <c r="C17" s="9"/>
      <c r="D17" s="7"/>
      <c r="E17" s="7"/>
      <c r="F17" s="7"/>
      <c r="G17" s="7"/>
      <c r="H17" s="7"/>
      <c r="I17" s="7"/>
      <c r="J17" s="7"/>
      <c r="K17" s="194"/>
      <c r="L17" s="194"/>
      <c r="M17" s="194"/>
      <c r="N17" s="7"/>
      <c r="O17" s="7"/>
      <c r="P17" s="7"/>
      <c r="Q17" s="7"/>
      <c r="R17" s="3"/>
      <c r="S17" s="3"/>
      <c r="T17" s="3"/>
      <c r="U17" s="3"/>
      <c r="V17" s="3"/>
      <c r="W17" s="3"/>
    </row>
    <row r="18" spans="1:23" ht="12.75">
      <c r="A18" s="1"/>
      <c r="B18" s="8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3"/>
      <c r="S18" s="3"/>
      <c r="T18" s="3"/>
      <c r="U18" s="3"/>
      <c r="V18" s="3"/>
      <c r="W18" s="3"/>
    </row>
    <row r="19" spans="1:23" ht="12.75">
      <c r="A19" s="1"/>
      <c r="B19" s="27"/>
      <c r="C19" s="27"/>
      <c r="D19" s="27"/>
      <c r="E19" s="2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3"/>
      <c r="S19" s="3"/>
      <c r="T19" s="3"/>
      <c r="U19" s="3"/>
      <c r="V19" s="3"/>
      <c r="W19" s="3"/>
    </row>
    <row r="20" spans="1:23" ht="15.75">
      <c r="A20" s="1"/>
      <c r="B20" s="47" t="s">
        <v>163</v>
      </c>
      <c r="C20" s="27"/>
      <c r="D20" s="27"/>
      <c r="E20" s="2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/>
      <c r="S20" s="3"/>
      <c r="T20" s="3"/>
      <c r="U20" s="3"/>
      <c r="V20" s="3"/>
      <c r="W20" s="3"/>
    </row>
    <row r="21" spans="1:23" ht="12.75">
      <c r="A21" s="1"/>
      <c r="B21" s="10" t="s">
        <v>0</v>
      </c>
      <c r="C21" s="219"/>
      <c r="D21" s="216" t="s">
        <v>142</v>
      </c>
      <c r="E21" s="11" t="s">
        <v>143</v>
      </c>
      <c r="F21" s="11" t="s">
        <v>143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3"/>
      <c r="T21" s="3"/>
      <c r="U21" s="3"/>
      <c r="V21" s="3"/>
      <c r="W21" s="3"/>
    </row>
    <row r="22" spans="1:23" ht="12.75">
      <c r="A22" s="1"/>
      <c r="B22" s="12"/>
      <c r="C22" s="220"/>
      <c r="D22" s="13"/>
      <c r="E22" s="13" t="s">
        <v>219</v>
      </c>
      <c r="F22" s="13" t="s">
        <v>218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3"/>
      <c r="T22" s="3"/>
      <c r="U22" s="3"/>
      <c r="V22" s="3"/>
      <c r="W22" s="3"/>
    </row>
    <row r="23" spans="1:23" ht="12.75">
      <c r="A23" s="122">
        <v>1</v>
      </c>
      <c r="B23" s="224" t="s">
        <v>185</v>
      </c>
      <c r="C23" s="219"/>
      <c r="D23" s="16">
        <f>E23+F23</f>
        <v>8314.99</v>
      </c>
      <c r="E23" s="16">
        <v>5000</v>
      </c>
      <c r="F23" s="217">
        <v>3314.99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3"/>
      <c r="T23" s="3"/>
      <c r="U23" s="3"/>
      <c r="V23" s="3"/>
      <c r="W23" s="3"/>
    </row>
    <row r="24" spans="1:23" ht="12.75">
      <c r="A24" s="122">
        <v>2</v>
      </c>
      <c r="B24" s="225" t="s">
        <v>213</v>
      </c>
      <c r="C24" s="16"/>
      <c r="D24" s="16">
        <f aca="true" t="shared" si="3" ref="D24:D42">E24+F24</f>
        <v>114036.43000000001</v>
      </c>
      <c r="E24" s="16">
        <v>35000</v>
      </c>
      <c r="F24" s="218">
        <v>79036.43000000001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3"/>
      <c r="T24" s="3"/>
      <c r="U24" s="3"/>
      <c r="V24" s="3"/>
      <c r="W24" s="3"/>
    </row>
    <row r="25" spans="1:23" ht="12.75">
      <c r="A25" s="122">
        <v>3</v>
      </c>
      <c r="B25" s="225" t="s">
        <v>187</v>
      </c>
      <c r="C25" s="221"/>
      <c r="D25" s="16">
        <f t="shared" si="3"/>
        <v>32815.55</v>
      </c>
      <c r="E25" s="15">
        <v>6000</v>
      </c>
      <c r="F25" s="218">
        <v>26815.55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</row>
    <row r="26" spans="1:23" ht="12.75">
      <c r="A26" s="122">
        <v>4</v>
      </c>
      <c r="B26" s="14" t="s">
        <v>188</v>
      </c>
      <c r="C26" s="221"/>
      <c r="D26" s="16">
        <f t="shared" si="3"/>
        <v>263499.99</v>
      </c>
      <c r="E26" s="15">
        <v>68000</v>
      </c>
      <c r="F26" s="218">
        <v>195499.99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3"/>
      <c r="T26" s="3"/>
      <c r="U26" s="3"/>
      <c r="V26" s="3"/>
      <c r="W26" s="3"/>
    </row>
    <row r="27" spans="1:23" ht="12.75">
      <c r="A27" s="122">
        <v>5</v>
      </c>
      <c r="B27" s="14" t="s">
        <v>189</v>
      </c>
      <c r="C27" s="221"/>
      <c r="D27" s="16">
        <f t="shared" si="3"/>
        <v>45660.75</v>
      </c>
      <c r="E27" s="15">
        <v>7500</v>
      </c>
      <c r="F27" s="218">
        <v>38160.75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</row>
    <row r="28" spans="1:23" ht="12.75">
      <c r="A28" s="122">
        <v>6</v>
      </c>
      <c r="B28" s="225" t="s">
        <v>210</v>
      </c>
      <c r="C28" s="221"/>
      <c r="D28" s="16">
        <f t="shared" si="3"/>
        <v>149759.88</v>
      </c>
      <c r="E28" s="15">
        <v>25000</v>
      </c>
      <c r="F28" s="218">
        <v>124759.88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3"/>
      <c r="T28" s="3"/>
      <c r="U28" s="3"/>
      <c r="V28" s="3"/>
      <c r="W28" s="3"/>
    </row>
    <row r="29" spans="1:23" ht="12.75">
      <c r="A29" s="122">
        <v>7</v>
      </c>
      <c r="B29" s="200" t="s">
        <v>217</v>
      </c>
      <c r="C29" s="221"/>
      <c r="D29" s="16">
        <f t="shared" si="3"/>
        <v>109869.79999999999</v>
      </c>
      <c r="E29" s="15">
        <v>18000</v>
      </c>
      <c r="F29" s="218">
        <v>91869.79999999999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</row>
    <row r="30" spans="1:23" ht="12.75">
      <c r="A30" s="122">
        <v>8</v>
      </c>
      <c r="B30" s="14" t="s">
        <v>190</v>
      </c>
      <c r="C30" s="221"/>
      <c r="D30" s="16">
        <f t="shared" si="3"/>
        <v>40650.64</v>
      </c>
      <c r="E30" s="15">
        <v>7000</v>
      </c>
      <c r="F30" s="218">
        <v>33650.64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  <c r="T30" s="3"/>
      <c r="U30" s="3"/>
      <c r="V30" s="3"/>
      <c r="W30" s="3"/>
    </row>
    <row r="31" spans="1:23" ht="12.75">
      <c r="A31" s="122">
        <v>9</v>
      </c>
      <c r="B31" s="14" t="s">
        <v>191</v>
      </c>
      <c r="C31" s="221"/>
      <c r="D31" s="16">
        <f t="shared" si="3"/>
        <v>71937.74</v>
      </c>
      <c r="E31" s="15">
        <v>12000</v>
      </c>
      <c r="F31" s="218">
        <v>59937.740000000005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3"/>
      <c r="T31" s="3"/>
      <c r="U31" s="3"/>
      <c r="V31" s="3"/>
      <c r="W31" s="3"/>
    </row>
    <row r="32" spans="1:23" ht="12.75">
      <c r="A32" s="122">
        <v>10</v>
      </c>
      <c r="B32" s="14" t="s">
        <v>192</v>
      </c>
      <c r="C32" s="221"/>
      <c r="D32" s="16">
        <f t="shared" si="3"/>
        <v>40257.02</v>
      </c>
      <c r="E32" s="15">
        <v>7000</v>
      </c>
      <c r="F32" s="218">
        <v>33257.02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3"/>
      <c r="T32" s="3"/>
      <c r="U32" s="3"/>
      <c r="V32" s="3"/>
      <c r="W32" s="3"/>
    </row>
    <row r="33" spans="1:23" ht="12.75">
      <c r="A33" s="122">
        <v>11</v>
      </c>
      <c r="B33" s="225" t="s">
        <v>193</v>
      </c>
      <c r="C33" s="221"/>
      <c r="D33" s="16">
        <f t="shared" si="3"/>
        <v>164622.64</v>
      </c>
      <c r="E33" s="15">
        <v>27000</v>
      </c>
      <c r="F33" s="218">
        <v>137622.64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3"/>
      <c r="T33" s="3"/>
      <c r="U33" s="3"/>
      <c r="V33" s="3"/>
      <c r="W33" s="3"/>
    </row>
    <row r="34" spans="1:23" ht="12.75">
      <c r="A34" s="122">
        <v>12</v>
      </c>
      <c r="B34" s="222" t="s">
        <v>220</v>
      </c>
      <c r="C34" s="221"/>
      <c r="D34" s="16">
        <f t="shared" si="3"/>
        <v>8000</v>
      </c>
      <c r="E34" s="15">
        <v>8000</v>
      </c>
      <c r="F34" s="218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"/>
      <c r="T34" s="3"/>
      <c r="U34" s="3"/>
      <c r="V34" s="3"/>
      <c r="W34" s="3"/>
    </row>
    <row r="35" spans="1:23" ht="12.75">
      <c r="A35" s="122">
        <v>13</v>
      </c>
      <c r="B35" s="222" t="s">
        <v>221</v>
      </c>
      <c r="C35" s="221"/>
      <c r="D35" s="16">
        <f t="shared" si="3"/>
        <v>3500</v>
      </c>
      <c r="E35" s="15">
        <v>3500</v>
      </c>
      <c r="F35" s="218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"/>
      <c r="T35" s="3"/>
      <c r="U35" s="3"/>
      <c r="V35" s="3"/>
      <c r="W35" s="3"/>
    </row>
    <row r="36" spans="1:23" ht="12.75">
      <c r="A36" s="122">
        <v>14</v>
      </c>
      <c r="B36" s="222" t="s">
        <v>222</v>
      </c>
      <c r="C36" s="221"/>
      <c r="D36" s="16">
        <f t="shared" si="3"/>
        <v>7380</v>
      </c>
      <c r="E36" s="15">
        <v>7380</v>
      </c>
      <c r="F36" s="218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"/>
      <c r="T36" s="3"/>
      <c r="U36" s="3"/>
      <c r="V36" s="3"/>
      <c r="W36" s="3"/>
    </row>
    <row r="37" spans="1:23" ht="12.75">
      <c r="A37" s="122">
        <v>15</v>
      </c>
      <c r="B37" s="222" t="s">
        <v>223</v>
      </c>
      <c r="C37" s="221"/>
      <c r="D37" s="16">
        <f t="shared" si="3"/>
        <v>30000</v>
      </c>
      <c r="E37" s="15">
        <v>30000</v>
      </c>
      <c r="F37" s="218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"/>
      <c r="T37" s="3"/>
      <c r="U37" s="3"/>
      <c r="V37" s="3"/>
      <c r="W37" s="3"/>
    </row>
    <row r="38" spans="1:23" ht="12.75">
      <c r="A38" s="122">
        <v>16</v>
      </c>
      <c r="B38" s="222" t="s">
        <v>224</v>
      </c>
      <c r="C38" s="221"/>
      <c r="D38" s="16">
        <f t="shared" si="3"/>
        <v>20000</v>
      </c>
      <c r="E38" s="15">
        <v>20000</v>
      </c>
      <c r="F38" s="218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3"/>
      <c r="T38" s="3"/>
      <c r="U38" s="3"/>
      <c r="V38" s="3"/>
      <c r="W38" s="3"/>
    </row>
    <row r="39" spans="1:23" ht="12.75">
      <c r="A39" s="122">
        <v>17</v>
      </c>
      <c r="B39" s="222" t="s">
        <v>226</v>
      </c>
      <c r="C39" s="221"/>
      <c r="D39" s="16">
        <f t="shared" si="3"/>
        <v>10000</v>
      </c>
      <c r="E39" s="15">
        <v>10000</v>
      </c>
      <c r="F39" s="218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3"/>
      <c r="T39" s="3"/>
      <c r="U39" s="3"/>
      <c r="V39" s="3"/>
      <c r="W39" s="3"/>
    </row>
    <row r="40" spans="1:23" ht="12.75">
      <c r="A40" s="122">
        <v>18</v>
      </c>
      <c r="B40" s="222" t="s">
        <v>225</v>
      </c>
      <c r="C40" s="221"/>
      <c r="D40" s="16">
        <f t="shared" si="3"/>
        <v>70200</v>
      </c>
      <c r="E40" s="20">
        <v>70200</v>
      </c>
      <c r="F40" s="218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"/>
      <c r="T40" s="3"/>
      <c r="U40" s="3"/>
      <c r="V40" s="3"/>
      <c r="W40" s="3"/>
    </row>
    <row r="41" spans="1:23" ht="12.75">
      <c r="A41" s="122">
        <v>19</v>
      </c>
      <c r="B41" s="222" t="s">
        <v>228</v>
      </c>
      <c r="C41" s="223"/>
      <c r="D41" s="16">
        <f t="shared" si="3"/>
        <v>111000</v>
      </c>
      <c r="E41" s="19">
        <v>111000</v>
      </c>
      <c r="F41" s="218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"/>
      <c r="T41" s="3"/>
      <c r="U41" s="3"/>
      <c r="V41" s="3"/>
      <c r="W41" s="3"/>
    </row>
    <row r="42" spans="1:23" ht="12.75">
      <c r="A42" s="122">
        <v>20</v>
      </c>
      <c r="B42" s="226" t="s">
        <v>227</v>
      </c>
      <c r="C42" s="220"/>
      <c r="D42" s="16">
        <f t="shared" si="3"/>
        <v>101460</v>
      </c>
      <c r="E42" s="19">
        <v>101460</v>
      </c>
      <c r="F42" s="218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"/>
      <c r="T42" s="3"/>
      <c r="U42" s="3"/>
      <c r="V42" s="3"/>
      <c r="W42" s="3"/>
    </row>
    <row r="43" spans="1:23" ht="12.75">
      <c r="A43" s="1"/>
      <c r="B43" s="10" t="s">
        <v>144</v>
      </c>
      <c r="C43" s="150"/>
      <c r="D43" s="151">
        <f>SUM(D23:D42)</f>
        <v>1402965.4300000002</v>
      </c>
      <c r="E43" s="151">
        <f>SUM(E23:E42)</f>
        <v>579040</v>
      </c>
      <c r="F43" s="151">
        <f>SUM(F23:F42)</f>
        <v>823925.43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"/>
      <c r="T43" s="3"/>
      <c r="U43" s="3"/>
      <c r="V43" s="3"/>
      <c r="W43" s="3"/>
    </row>
    <row r="44" spans="1:23" ht="12.75">
      <c r="A44" s="1"/>
      <c r="B44" s="17" t="s">
        <v>145</v>
      </c>
      <c r="C44" s="21"/>
      <c r="D44" s="21" t="e">
        <f>F</f>
        <v>#NAME?</v>
      </c>
      <c r="E44" s="21">
        <f>ROUND(E43/1.23,2)</f>
        <v>470764.23</v>
      </c>
      <c r="F44" s="21">
        <f>ROUND(F43/1.23,2)</f>
        <v>669858.07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3"/>
      <c r="T44" s="3"/>
      <c r="U44" s="3"/>
      <c r="V44" s="3"/>
      <c r="W44" s="3"/>
    </row>
    <row r="45" spans="1:23" ht="12.75">
      <c r="A45" s="1"/>
      <c r="B45" s="12" t="s">
        <v>146</v>
      </c>
      <c r="C45" s="23"/>
      <c r="D45" s="23" t="e">
        <f>ROUND(D43-D44,2)</f>
        <v>#NAME?</v>
      </c>
      <c r="E45" s="23">
        <f>ROUND(E43-E44,2)</f>
        <v>108275.77</v>
      </c>
      <c r="F45" s="23">
        <f>ROUND(F43-F44,2)</f>
        <v>154067.36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"/>
      <c r="T45" s="3"/>
      <c r="U45" s="3"/>
      <c r="V45" s="3"/>
      <c r="W45" s="3"/>
    </row>
    <row r="46" spans="1:23" ht="12.75">
      <c r="A46" s="1"/>
      <c r="B46" s="27"/>
      <c r="C46" s="27"/>
      <c r="D46" s="27"/>
      <c r="E46" s="2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"/>
      <c r="S46" s="3"/>
      <c r="T46" s="3"/>
      <c r="U46" s="3"/>
      <c r="V46" s="3"/>
      <c r="W46" s="3"/>
    </row>
    <row r="47" spans="1:23" ht="12.75">
      <c r="A47" s="1"/>
      <c r="B47" s="27"/>
      <c r="C47" s="9"/>
      <c r="D47" s="156"/>
      <c r="E47" s="2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"/>
      <c r="S47" s="3"/>
      <c r="T47" s="3"/>
      <c r="U47" s="3"/>
      <c r="V47" s="3"/>
      <c r="W47" s="3"/>
    </row>
    <row r="48" spans="1:23" ht="12.75">
      <c r="A48" s="1"/>
      <c r="B48" s="5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"/>
      <c r="S48" s="3"/>
      <c r="T48" s="3"/>
      <c r="U48" s="3"/>
      <c r="V48" s="3"/>
      <c r="W48" s="3"/>
    </row>
    <row r="49" spans="1:17" ht="12.75">
      <c r="A49" s="1"/>
      <c r="B49" s="8"/>
      <c r="C49" s="27"/>
      <c r="D49" s="9"/>
      <c r="E49" s="27"/>
      <c r="F49" s="27"/>
      <c r="G49" s="27"/>
      <c r="H49" s="27"/>
      <c r="I49" s="27"/>
      <c r="J49" s="27"/>
      <c r="K49" s="27"/>
      <c r="L49" s="9"/>
      <c r="M49" s="27"/>
      <c r="N49" s="27"/>
      <c r="O49" s="27"/>
      <c r="P49" s="27"/>
      <c r="Q49" s="27"/>
    </row>
    <row r="50" spans="1:17" ht="15.75">
      <c r="A50" s="1"/>
      <c r="B50" s="48" t="s">
        <v>233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2.75">
      <c r="A51" s="1"/>
      <c r="B51" s="208" t="s">
        <v>75</v>
      </c>
      <c r="C51" s="212" t="s">
        <v>7</v>
      </c>
      <c r="D51" s="207">
        <v>2019</v>
      </c>
      <c r="E51" s="207"/>
      <c r="F51" s="207"/>
      <c r="G51" s="207"/>
      <c r="H51" s="207">
        <v>2020</v>
      </c>
      <c r="I51" s="207"/>
      <c r="J51" s="207"/>
      <c r="K51" s="207"/>
      <c r="L51" s="207">
        <v>2021</v>
      </c>
      <c r="M51" s="207"/>
      <c r="N51" s="207"/>
      <c r="O51" s="207"/>
      <c r="P51" s="27"/>
      <c r="Q51" s="27"/>
    </row>
    <row r="52" spans="1:17" ht="12.75">
      <c r="A52" s="1"/>
      <c r="B52" s="209"/>
      <c r="C52" s="213"/>
      <c r="D52" s="40" t="s">
        <v>74</v>
      </c>
      <c r="E52" s="40" t="s">
        <v>71</v>
      </c>
      <c r="F52" s="40" t="s">
        <v>72</v>
      </c>
      <c r="G52" s="40" t="s">
        <v>73</v>
      </c>
      <c r="H52" s="40" t="s">
        <v>74</v>
      </c>
      <c r="I52" s="40" t="s">
        <v>71</v>
      </c>
      <c r="J52" s="40" t="s">
        <v>72</v>
      </c>
      <c r="K52" s="40" t="s">
        <v>73</v>
      </c>
      <c r="L52" s="40" t="s">
        <v>74</v>
      </c>
      <c r="M52" s="40" t="s">
        <v>71</v>
      </c>
      <c r="N52" s="40" t="s">
        <v>72</v>
      </c>
      <c r="O52" s="40" t="s">
        <v>73</v>
      </c>
      <c r="P52" s="27"/>
      <c r="Q52" s="27"/>
    </row>
    <row r="53" spans="1:17" ht="12.75">
      <c r="A53" s="1"/>
      <c r="B53" s="4" t="s">
        <v>211</v>
      </c>
      <c r="C53" s="28">
        <f>SUM(D53:O53)</f>
        <v>0</v>
      </c>
      <c r="D53" s="29"/>
      <c r="E53" s="29"/>
      <c r="F53" s="29"/>
      <c r="G53" s="29"/>
      <c r="H53" s="41"/>
      <c r="I53" s="41"/>
      <c r="J53" s="29"/>
      <c r="K53" s="29"/>
      <c r="L53" s="29"/>
      <c r="M53" s="29"/>
      <c r="N53" s="29"/>
      <c r="O53" s="29"/>
      <c r="P53" s="27"/>
      <c r="Q53" s="27"/>
    </row>
    <row r="54" spans="1:17" ht="12.75">
      <c r="A54" s="1"/>
      <c r="B54" s="4" t="s">
        <v>212</v>
      </c>
      <c r="C54" s="28">
        <f>SUM(D54:O54)</f>
        <v>0</v>
      </c>
      <c r="D54" s="29"/>
      <c r="E54" s="29"/>
      <c r="F54" s="29"/>
      <c r="G54" s="29"/>
      <c r="H54" s="24"/>
      <c r="I54" s="24"/>
      <c r="J54" s="29"/>
      <c r="K54" s="29"/>
      <c r="L54" s="29"/>
      <c r="M54" s="29"/>
      <c r="N54" s="29"/>
      <c r="O54" s="29"/>
      <c r="P54" s="27"/>
      <c r="Q54" s="27"/>
    </row>
    <row r="55" spans="1:17" ht="12.75">
      <c r="A55" s="1"/>
      <c r="B55" s="17" t="s">
        <v>186</v>
      </c>
      <c r="C55" s="28">
        <f>SUM(D55:O55)</f>
        <v>0</v>
      </c>
      <c r="D55" s="193"/>
      <c r="E55" s="193"/>
      <c r="F55" s="193"/>
      <c r="G55" s="193"/>
      <c r="H55" s="24"/>
      <c r="I55" s="24"/>
      <c r="J55" s="193"/>
      <c r="K55" s="193"/>
      <c r="L55" s="193"/>
      <c r="M55" s="193"/>
      <c r="N55" s="193"/>
      <c r="O55" s="193"/>
      <c r="P55" s="27"/>
      <c r="Q55" s="27"/>
    </row>
    <row r="56" spans="1:17" ht="12.75">
      <c r="A56" s="1"/>
      <c r="B56" s="17" t="s">
        <v>194</v>
      </c>
      <c r="C56" s="28">
        <f>SUM(D56:O56)</f>
        <v>0</v>
      </c>
      <c r="D56" s="193"/>
      <c r="E56" s="193"/>
      <c r="F56" s="193"/>
      <c r="G56" s="193"/>
      <c r="H56" s="24"/>
      <c r="I56" s="24"/>
      <c r="J56" s="193"/>
      <c r="K56" s="193"/>
      <c r="L56" s="193"/>
      <c r="M56" s="193"/>
      <c r="N56" s="193"/>
      <c r="O56" s="193"/>
      <c r="P56" s="27"/>
      <c r="Q56" s="27"/>
    </row>
    <row r="57" spans="1:17" ht="12.75">
      <c r="A57" s="1"/>
      <c r="B57" s="43" t="s">
        <v>76</v>
      </c>
      <c r="C57" s="38">
        <f>SUM(D57:O57)</f>
        <v>0</v>
      </c>
      <c r="D57" s="42">
        <f>SUM(D53:D56)</f>
        <v>0</v>
      </c>
      <c r="E57" s="42">
        <f aca="true" t="shared" si="4" ref="E57:O57">SUM(E53:E56)</f>
        <v>0</v>
      </c>
      <c r="F57" s="42">
        <f t="shared" si="4"/>
        <v>0</v>
      </c>
      <c r="G57" s="42">
        <f t="shared" si="4"/>
        <v>0</v>
      </c>
      <c r="H57" s="42">
        <f t="shared" si="4"/>
        <v>0</v>
      </c>
      <c r="I57" s="42">
        <f t="shared" si="4"/>
        <v>0</v>
      </c>
      <c r="J57" s="42">
        <f t="shared" si="4"/>
        <v>0</v>
      </c>
      <c r="K57" s="42">
        <f t="shared" si="4"/>
        <v>0</v>
      </c>
      <c r="L57" s="42">
        <f t="shared" si="4"/>
        <v>0</v>
      </c>
      <c r="M57" s="42">
        <f t="shared" si="4"/>
        <v>0</v>
      </c>
      <c r="N57" s="42">
        <f t="shared" si="4"/>
        <v>0</v>
      </c>
      <c r="O57" s="42">
        <f t="shared" si="4"/>
        <v>0</v>
      </c>
      <c r="P57" s="27"/>
      <c r="Q57" s="27"/>
    </row>
    <row r="58" spans="1:17" ht="12.75">
      <c r="A58" s="1"/>
      <c r="B58" s="39" t="s">
        <v>133</v>
      </c>
      <c r="C58" s="44">
        <f>D58+H58+L58</f>
        <v>0</v>
      </c>
      <c r="D58" s="214">
        <f>SUM(D57:G57)</f>
        <v>0</v>
      </c>
      <c r="E58" s="215"/>
      <c r="F58" s="215"/>
      <c r="G58" s="210"/>
      <c r="H58" s="210">
        <f>SUM(H57:K57)</f>
        <v>0</v>
      </c>
      <c r="I58" s="211"/>
      <c r="J58" s="211"/>
      <c r="K58" s="211"/>
      <c r="L58" s="211">
        <f>SUM(L57:O57)</f>
        <v>0</v>
      </c>
      <c r="M58" s="211"/>
      <c r="N58" s="211"/>
      <c r="O58" s="211"/>
      <c r="P58" s="27"/>
      <c r="Q58" s="27"/>
    </row>
    <row r="59" spans="1:17" ht="12.75">
      <c r="A59" s="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7"/>
      <c r="Q59" s="27"/>
    </row>
    <row r="60" spans="1:17" ht="12.75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7"/>
      <c r="Q60" s="27"/>
    </row>
    <row r="61" spans="1:17" ht="12.75">
      <c r="A61" s="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27"/>
      <c r="Q61" s="27"/>
    </row>
    <row r="62" spans="1:17" ht="12.75">
      <c r="A62" s="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27"/>
      <c r="Q62" s="27"/>
    </row>
    <row r="63" spans="1:17" ht="12.75">
      <c r="A63" s="1"/>
      <c r="B63" s="45"/>
      <c r="C63" s="4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27"/>
      <c r="Q63" s="27"/>
    </row>
    <row r="64" spans="1:17" ht="15.75">
      <c r="A64" s="1"/>
      <c r="B64" s="49" t="s">
        <v>232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7"/>
      <c r="Q64" s="27"/>
    </row>
    <row r="65" spans="1:17" ht="12.75">
      <c r="A65" s="1"/>
      <c r="B65" s="208" t="s">
        <v>75</v>
      </c>
      <c r="C65" s="207" t="s">
        <v>7</v>
      </c>
      <c r="D65" s="207">
        <v>2019</v>
      </c>
      <c r="E65" s="207"/>
      <c r="F65" s="207"/>
      <c r="G65" s="207"/>
      <c r="H65" s="207">
        <v>2020</v>
      </c>
      <c r="I65" s="207"/>
      <c r="J65" s="207"/>
      <c r="K65" s="207"/>
      <c r="L65" s="207">
        <v>2021</v>
      </c>
      <c r="M65" s="207"/>
      <c r="N65" s="207"/>
      <c r="O65" s="207"/>
      <c r="P65" s="27"/>
      <c r="Q65" s="27"/>
    </row>
    <row r="66" spans="1:17" ht="12.75">
      <c r="A66" s="1"/>
      <c r="B66" s="209"/>
      <c r="C66" s="207"/>
      <c r="D66" s="40" t="s">
        <v>74</v>
      </c>
      <c r="E66" s="40" t="s">
        <v>71</v>
      </c>
      <c r="F66" s="40" t="s">
        <v>72</v>
      </c>
      <c r="G66" s="40" t="s">
        <v>73</v>
      </c>
      <c r="H66" s="40" t="s">
        <v>74</v>
      </c>
      <c r="I66" s="40" t="s">
        <v>71</v>
      </c>
      <c r="J66" s="40" t="s">
        <v>72</v>
      </c>
      <c r="K66" s="40" t="s">
        <v>73</v>
      </c>
      <c r="L66" s="40" t="s">
        <v>74</v>
      </c>
      <c r="M66" s="40" t="s">
        <v>71</v>
      </c>
      <c r="N66" s="40" t="s">
        <v>72</v>
      </c>
      <c r="O66" s="40" t="s">
        <v>73</v>
      </c>
      <c r="P66" s="27"/>
      <c r="Q66" s="27"/>
    </row>
    <row r="67" spans="1:17" ht="12.75">
      <c r="A67" s="1"/>
      <c r="B67" s="4" t="s">
        <v>119</v>
      </c>
      <c r="C67" s="28">
        <f>SUM(D67:O67)</f>
        <v>579040</v>
      </c>
      <c r="D67" s="28">
        <v>0</v>
      </c>
      <c r="E67" s="28">
        <v>0</v>
      </c>
      <c r="F67" s="28">
        <v>123336</v>
      </c>
      <c r="G67" s="28">
        <v>141046</v>
      </c>
      <c r="H67" s="28">
        <v>47346</v>
      </c>
      <c r="I67" s="28">
        <v>20346</v>
      </c>
      <c r="J67" s="28">
        <v>38346</v>
      </c>
      <c r="K67" s="28">
        <v>56346</v>
      </c>
      <c r="L67" s="28">
        <v>23036</v>
      </c>
      <c r="M67" s="28">
        <v>70346</v>
      </c>
      <c r="N67" s="28">
        <v>39546</v>
      </c>
      <c r="O67" s="28">
        <v>19346</v>
      </c>
      <c r="P67" s="27"/>
      <c r="Q67" s="27"/>
    </row>
    <row r="68" spans="1:17" ht="12.75">
      <c r="A68" s="1"/>
      <c r="B68" s="4" t="s">
        <v>120</v>
      </c>
      <c r="C68" s="28">
        <f>SUM(D68:O68)</f>
        <v>0</v>
      </c>
      <c r="D68" s="28">
        <f>D57</f>
        <v>0</v>
      </c>
      <c r="E68" s="28">
        <f>E57</f>
        <v>0</v>
      </c>
      <c r="F68" s="28">
        <f>F57</f>
        <v>0</v>
      </c>
      <c r="G68" s="28">
        <f>G57</f>
        <v>0</v>
      </c>
      <c r="H68" s="28">
        <f>H57</f>
        <v>0</v>
      </c>
      <c r="I68" s="28">
        <f>I57</f>
        <v>0</v>
      </c>
      <c r="J68" s="28">
        <f>J57</f>
        <v>0</v>
      </c>
      <c r="K68" s="28">
        <f>K57</f>
        <v>0</v>
      </c>
      <c r="L68" s="28">
        <f>L57</f>
        <v>0</v>
      </c>
      <c r="M68" s="28">
        <f>M57</f>
        <v>0</v>
      </c>
      <c r="N68" s="28">
        <f>N57</f>
        <v>0</v>
      </c>
      <c r="O68" s="28">
        <f>O57</f>
        <v>0</v>
      </c>
      <c r="P68" s="27"/>
      <c r="Q68" s="27"/>
    </row>
    <row r="69" spans="1:17" ht="12.75">
      <c r="A69" s="1"/>
      <c r="B69" s="43" t="s">
        <v>76</v>
      </c>
      <c r="C69" s="28">
        <f>SUM(D69:O69)</f>
        <v>579040</v>
      </c>
      <c r="D69" s="42">
        <f>D68+D67</f>
        <v>0</v>
      </c>
      <c r="E69" s="42">
        <f aca="true" t="shared" si="5" ref="E69:O69">E68+E67</f>
        <v>0</v>
      </c>
      <c r="F69" s="42">
        <f t="shared" si="5"/>
        <v>123336</v>
      </c>
      <c r="G69" s="42">
        <f t="shared" si="5"/>
        <v>141046</v>
      </c>
      <c r="H69" s="42">
        <f t="shared" si="5"/>
        <v>47346</v>
      </c>
      <c r="I69" s="42">
        <f t="shared" si="5"/>
        <v>20346</v>
      </c>
      <c r="J69" s="42">
        <f t="shared" si="5"/>
        <v>38346</v>
      </c>
      <c r="K69" s="42">
        <f t="shared" si="5"/>
        <v>56346</v>
      </c>
      <c r="L69" s="42">
        <f t="shared" si="5"/>
        <v>23036</v>
      </c>
      <c r="M69" s="42">
        <f t="shared" si="5"/>
        <v>70346</v>
      </c>
      <c r="N69" s="42">
        <f t="shared" si="5"/>
        <v>39546</v>
      </c>
      <c r="O69" s="42">
        <f t="shared" si="5"/>
        <v>19346</v>
      </c>
      <c r="P69" s="27"/>
      <c r="Q69" s="27"/>
    </row>
    <row r="70" spans="1:17" ht="12.75">
      <c r="A70" s="1"/>
      <c r="B70" s="39" t="s">
        <v>133</v>
      </c>
      <c r="C70" s="44">
        <f>D70+H70+L70</f>
        <v>579040</v>
      </c>
      <c r="D70" s="214">
        <f>SUM(D69:G69)</f>
        <v>264382</v>
      </c>
      <c r="E70" s="215"/>
      <c r="F70" s="215"/>
      <c r="G70" s="210"/>
      <c r="H70" s="210">
        <f>SUM(H69:K69)</f>
        <v>162384</v>
      </c>
      <c r="I70" s="211"/>
      <c r="J70" s="211"/>
      <c r="K70" s="211"/>
      <c r="L70" s="211">
        <f>SUM(L69:O69)</f>
        <v>152274</v>
      </c>
      <c r="M70" s="211"/>
      <c r="N70" s="211"/>
      <c r="O70" s="211"/>
      <c r="P70" s="27"/>
      <c r="Q70" s="27"/>
    </row>
    <row r="71" spans="1:17" ht="12.7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2.7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2.75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.75">
      <c r="A74" s="1"/>
      <c r="B74" s="49" t="s">
        <v>134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27"/>
      <c r="Q74" s="27"/>
    </row>
    <row r="75" spans="1:17" ht="12.75">
      <c r="A75" s="1"/>
      <c r="B75" s="208" t="s">
        <v>75</v>
      </c>
      <c r="C75" s="207" t="s">
        <v>7</v>
      </c>
      <c r="D75" s="207">
        <v>2019</v>
      </c>
      <c r="E75" s="207"/>
      <c r="F75" s="207"/>
      <c r="G75" s="207"/>
      <c r="H75" s="207">
        <v>2020</v>
      </c>
      <c r="I75" s="207"/>
      <c r="J75" s="207"/>
      <c r="K75" s="207"/>
      <c r="L75" s="207">
        <v>2021</v>
      </c>
      <c r="M75" s="207"/>
      <c r="N75" s="207"/>
      <c r="O75" s="207"/>
      <c r="P75" s="27"/>
      <c r="Q75" s="27"/>
    </row>
    <row r="76" spans="1:17" ht="12.75">
      <c r="A76" s="1"/>
      <c r="B76" s="209"/>
      <c r="C76" s="207"/>
      <c r="D76" s="40" t="s">
        <v>74</v>
      </c>
      <c r="E76" s="40" t="s">
        <v>71</v>
      </c>
      <c r="F76" s="40" t="s">
        <v>72</v>
      </c>
      <c r="G76" s="40" t="s">
        <v>73</v>
      </c>
      <c r="H76" s="40" t="s">
        <v>74</v>
      </c>
      <c r="I76" s="40" t="s">
        <v>71</v>
      </c>
      <c r="J76" s="40" t="s">
        <v>72</v>
      </c>
      <c r="K76" s="40" t="s">
        <v>73</v>
      </c>
      <c r="L76" s="40" t="s">
        <v>74</v>
      </c>
      <c r="M76" s="40" t="s">
        <v>71</v>
      </c>
      <c r="N76" s="40" t="s">
        <v>72</v>
      </c>
      <c r="O76" s="40" t="s">
        <v>73</v>
      </c>
      <c r="P76" s="27"/>
      <c r="Q76" s="27"/>
    </row>
    <row r="77" spans="1:17" ht="12.75">
      <c r="A77" s="1"/>
      <c r="B77" s="4" t="s">
        <v>119</v>
      </c>
      <c r="C77" s="28">
        <f>SUM(D77:O77)</f>
        <v>1402965.43</v>
      </c>
      <c r="D77" s="28">
        <v>0</v>
      </c>
      <c r="E77" s="28">
        <v>0</v>
      </c>
      <c r="F77" s="28">
        <f>371549.49+123336</f>
        <v>494885.49</v>
      </c>
      <c r="G77" s="28">
        <f>452375.94+141046</f>
        <v>593421.94</v>
      </c>
      <c r="H77" s="28">
        <v>47346</v>
      </c>
      <c r="I77" s="28">
        <v>20346</v>
      </c>
      <c r="J77" s="28">
        <v>38346</v>
      </c>
      <c r="K77" s="28">
        <v>56346</v>
      </c>
      <c r="L77" s="28">
        <v>23036</v>
      </c>
      <c r="M77" s="28">
        <v>70346</v>
      </c>
      <c r="N77" s="28">
        <v>39546</v>
      </c>
      <c r="O77" s="28">
        <v>19346</v>
      </c>
      <c r="P77" s="27"/>
      <c r="Q77" s="27"/>
    </row>
    <row r="78" spans="1:17" ht="12.75">
      <c r="A78" s="1"/>
      <c r="B78" s="4" t="s">
        <v>120</v>
      </c>
      <c r="C78" s="28">
        <f>SUM(D78:O78)</f>
        <v>0</v>
      </c>
      <c r="D78" s="28">
        <f>D67</f>
        <v>0</v>
      </c>
      <c r="E78" s="28">
        <f>E67</f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7"/>
      <c r="Q78" s="27"/>
    </row>
    <row r="79" spans="1:17" ht="12.75" customHeight="1">
      <c r="A79" s="1"/>
      <c r="B79" s="43" t="s">
        <v>76</v>
      </c>
      <c r="C79" s="28">
        <f>SUM(D79:O79)</f>
        <v>1402965.43</v>
      </c>
      <c r="D79" s="42">
        <f>D78+D77</f>
        <v>0</v>
      </c>
      <c r="E79" s="42">
        <f aca="true" t="shared" si="6" ref="E79:O79">E78+E77</f>
        <v>0</v>
      </c>
      <c r="F79" s="42">
        <f t="shared" si="6"/>
        <v>494885.49</v>
      </c>
      <c r="G79" s="42">
        <f t="shared" si="6"/>
        <v>593421.94</v>
      </c>
      <c r="H79" s="42">
        <f t="shared" si="6"/>
        <v>47346</v>
      </c>
      <c r="I79" s="42">
        <f t="shared" si="6"/>
        <v>20346</v>
      </c>
      <c r="J79" s="42">
        <f t="shared" si="6"/>
        <v>38346</v>
      </c>
      <c r="K79" s="42">
        <f t="shared" si="6"/>
        <v>56346</v>
      </c>
      <c r="L79" s="42">
        <f t="shared" si="6"/>
        <v>23036</v>
      </c>
      <c r="M79" s="42">
        <f t="shared" si="6"/>
        <v>70346</v>
      </c>
      <c r="N79" s="42">
        <f t="shared" si="6"/>
        <v>39546</v>
      </c>
      <c r="O79" s="42">
        <f t="shared" si="6"/>
        <v>19346</v>
      </c>
      <c r="P79" s="27"/>
      <c r="Q79" s="27"/>
    </row>
    <row r="80" spans="1:17" ht="12.75">
      <c r="A80" s="1"/>
      <c r="B80" s="39" t="s">
        <v>133</v>
      </c>
      <c r="C80" s="44">
        <f>D80+H80+L80</f>
        <v>1402965.43</v>
      </c>
      <c r="D80" s="214">
        <f>SUM(D79:G79)</f>
        <v>1088307.43</v>
      </c>
      <c r="E80" s="215"/>
      <c r="F80" s="215"/>
      <c r="G80" s="210"/>
      <c r="H80" s="210">
        <f>SUM(H79:K79)</f>
        <v>162384</v>
      </c>
      <c r="I80" s="211"/>
      <c r="J80" s="211"/>
      <c r="K80" s="211"/>
      <c r="L80" s="211">
        <f>SUM(L79:O79)</f>
        <v>152274</v>
      </c>
      <c r="M80" s="211"/>
      <c r="N80" s="211"/>
      <c r="O80" s="211"/>
      <c r="P80" s="27"/>
      <c r="Q80" s="27"/>
    </row>
    <row r="81" spans="1:17" ht="12.75">
      <c r="A81" s="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2.75">
      <c r="A82" s="2"/>
      <c r="B82" s="27"/>
      <c r="C82" s="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2.75">
      <c r="A83" s="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.75">
      <c r="A84" s="2"/>
      <c r="B84" s="47" t="s">
        <v>148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2.75">
      <c r="A85" s="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2.75">
      <c r="A86" s="2"/>
      <c r="B86" s="208" t="s">
        <v>75</v>
      </c>
      <c r="C86" s="207">
        <v>2019</v>
      </c>
      <c r="D86" s="207"/>
      <c r="E86" s="207"/>
      <c r="F86" s="207"/>
      <c r="G86" s="207">
        <v>2020</v>
      </c>
      <c r="H86" s="207"/>
      <c r="I86" s="207"/>
      <c r="J86" s="207"/>
      <c r="K86" s="207">
        <v>2021</v>
      </c>
      <c r="L86" s="207"/>
      <c r="M86" s="207"/>
      <c r="N86" s="207"/>
      <c r="O86" s="27"/>
      <c r="P86" s="27"/>
      <c r="Q86" s="27"/>
    </row>
    <row r="87" spans="1:17" ht="12.75">
      <c r="A87" s="2"/>
      <c r="B87" s="209"/>
      <c r="C87" s="24" t="s">
        <v>74</v>
      </c>
      <c r="D87" s="24" t="s">
        <v>71</v>
      </c>
      <c r="E87" s="24" t="s">
        <v>72</v>
      </c>
      <c r="F87" s="24" t="s">
        <v>73</v>
      </c>
      <c r="G87" s="24" t="s">
        <v>74</v>
      </c>
      <c r="H87" s="24" t="s">
        <v>71</v>
      </c>
      <c r="I87" s="24" t="s">
        <v>72</v>
      </c>
      <c r="J87" s="24" t="s">
        <v>73</v>
      </c>
      <c r="K87" s="24" t="s">
        <v>74</v>
      </c>
      <c r="L87" s="24" t="s">
        <v>71</v>
      </c>
      <c r="M87" s="24" t="s">
        <v>72</v>
      </c>
      <c r="N87" s="24" t="s">
        <v>73</v>
      </c>
      <c r="O87" s="27"/>
      <c r="P87" s="27"/>
      <c r="Q87" s="27"/>
    </row>
    <row r="88" spans="1:17" ht="12.75">
      <c r="A88" s="2"/>
      <c r="B88" s="25" t="s">
        <v>159</v>
      </c>
      <c r="C88" s="26"/>
      <c r="D88" s="26"/>
      <c r="E88" s="227"/>
      <c r="F88" s="26"/>
      <c r="G88" s="24"/>
      <c r="H88" s="24"/>
      <c r="I88" s="230"/>
      <c r="J88" s="230"/>
      <c r="K88" s="230"/>
      <c r="L88" s="230"/>
      <c r="M88" s="230"/>
      <c r="N88" s="230"/>
      <c r="O88" s="27"/>
      <c r="P88" s="27"/>
      <c r="Q88" s="27"/>
    </row>
    <row r="89" spans="1:17" ht="12.75">
      <c r="A89" s="2"/>
      <c r="B89" s="25" t="s">
        <v>160</v>
      </c>
      <c r="C89" s="28"/>
      <c r="D89" s="28"/>
      <c r="E89" s="227"/>
      <c r="F89" s="28"/>
      <c r="G89" s="29"/>
      <c r="H89" s="29"/>
      <c r="I89" s="231"/>
      <c r="J89" s="231"/>
      <c r="K89" s="231"/>
      <c r="L89" s="231"/>
      <c r="M89" s="231"/>
      <c r="N89" s="231"/>
      <c r="O89" s="27"/>
      <c r="P89" s="27"/>
      <c r="Q89" s="27"/>
    </row>
    <row r="90" spans="1:17" ht="12.75">
      <c r="A90" s="2"/>
      <c r="B90" s="25" t="s">
        <v>162</v>
      </c>
      <c r="C90" s="28"/>
      <c r="D90" s="28"/>
      <c r="E90" s="28"/>
      <c r="F90" s="228"/>
      <c r="G90" s="29"/>
      <c r="H90" s="29"/>
      <c r="I90" s="231"/>
      <c r="J90" s="231"/>
      <c r="K90" s="231"/>
      <c r="L90" s="231"/>
      <c r="M90" s="231"/>
      <c r="N90" s="231"/>
      <c r="O90" s="27"/>
      <c r="P90" s="27"/>
      <c r="Q90" s="27"/>
    </row>
    <row r="91" spans="2:17" ht="12.75">
      <c r="B91" s="25" t="s">
        <v>161</v>
      </c>
      <c r="C91" s="28"/>
      <c r="D91" s="28"/>
      <c r="E91" s="228"/>
      <c r="F91" s="228"/>
      <c r="G91" s="29"/>
      <c r="H91" s="29"/>
      <c r="I91" s="231"/>
      <c r="J91" s="231"/>
      <c r="K91" s="231"/>
      <c r="L91" s="231"/>
      <c r="M91" s="231"/>
      <c r="N91" s="231"/>
      <c r="O91" s="27"/>
      <c r="P91" s="27"/>
      <c r="Q91" s="27"/>
    </row>
    <row r="92" spans="2:17" ht="12.75">
      <c r="B92" s="25" t="s">
        <v>231</v>
      </c>
      <c r="C92" s="228"/>
      <c r="D92" s="228"/>
      <c r="E92" s="228"/>
      <c r="F92" s="228"/>
      <c r="G92" s="229"/>
      <c r="H92" s="229"/>
      <c r="I92" s="229"/>
      <c r="J92" s="229"/>
      <c r="K92" s="229"/>
      <c r="L92" s="229"/>
      <c r="M92" s="229"/>
      <c r="N92" s="229"/>
      <c r="O92" s="27"/>
      <c r="P92" s="27"/>
      <c r="Q92" s="27"/>
    </row>
    <row r="93" spans="2:17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2:17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2:17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2:17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2:17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2:17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2:17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2:17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2:17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2:17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2:17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2:17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2:17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2:17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2:17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2:17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2:17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2:17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2:17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2:17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2:17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7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2:17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7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2:17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2:17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2:17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2:17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2:17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2:17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2:17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2:17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2:17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2:17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2:17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2:17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2:17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2:17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2:17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2:17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2:17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2:17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2:17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2:17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2:17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2:17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2:17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2:17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2:17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2:17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2:17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2:17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2:17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2:17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2:17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2:17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2:17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2:17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2:17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2:17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2:17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2:17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2:17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2:17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2:17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2:17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2:17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2:17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2:17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2:17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2:17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2:17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2:17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2:17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2:17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2:17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2:17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2:17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2:17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2:17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2:17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2:17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2:17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2:17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2:17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2:17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2:17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2:17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2:17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2:17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2:17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2:17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2:17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2:17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2:17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2:17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2:17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2:17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2:17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2:17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2:17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2:17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2:17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2:17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2:17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2:17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2:17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2:17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2:17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2:17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2:17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2:17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2:17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2:17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2:17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2:17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2:17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2:17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2:17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2:17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2:17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2:17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2:17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2:17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2:17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2:17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2:17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2:17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2:17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</sheetData>
  <sheetProtection/>
  <mergeCells count="36">
    <mergeCell ref="D80:G80"/>
    <mergeCell ref="H80:K80"/>
    <mergeCell ref="L80:O80"/>
    <mergeCell ref="L2:O2"/>
    <mergeCell ref="L15:O15"/>
    <mergeCell ref="B75:B76"/>
    <mergeCell ref="C75:C76"/>
    <mergeCell ref="D58:G58"/>
    <mergeCell ref="L51:O51"/>
    <mergeCell ref="D51:G51"/>
    <mergeCell ref="C51:C52"/>
    <mergeCell ref="G86:J86"/>
    <mergeCell ref="K86:N86"/>
    <mergeCell ref="D70:G70"/>
    <mergeCell ref="D65:G65"/>
    <mergeCell ref="D75:G75"/>
    <mergeCell ref="H75:K75"/>
    <mergeCell ref="L75:O75"/>
    <mergeCell ref="C86:F86"/>
    <mergeCell ref="B86:B87"/>
    <mergeCell ref="H65:K65"/>
    <mergeCell ref="L65:O65"/>
    <mergeCell ref="D15:G15"/>
    <mergeCell ref="H15:K15"/>
    <mergeCell ref="B65:B66"/>
    <mergeCell ref="C65:C66"/>
    <mergeCell ref="L70:O70"/>
    <mergeCell ref="L58:O58"/>
    <mergeCell ref="B2:B3"/>
    <mergeCell ref="C2:C3"/>
    <mergeCell ref="D2:G2"/>
    <mergeCell ref="H2:K2"/>
    <mergeCell ref="B51:B52"/>
    <mergeCell ref="H70:K70"/>
    <mergeCell ref="H51:K51"/>
    <mergeCell ref="H58:K5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rwisz</dc:creator>
  <cp:keywords/>
  <dc:description/>
  <cp:lastModifiedBy>Maciej Kunysz</cp:lastModifiedBy>
  <dcterms:created xsi:type="dcterms:W3CDTF">2008-08-22T11:13:06Z</dcterms:created>
  <dcterms:modified xsi:type="dcterms:W3CDTF">2019-04-22T11:47:46Z</dcterms:modified>
  <cp:category/>
  <cp:version/>
  <cp:contentType/>
  <cp:contentStatus/>
</cp:coreProperties>
</file>